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ankametefe/Library/CloudStorage/GoogleDrive-fametefe@gmail.com/My Drive/Data/Dodowo/2025 10 - Oct/2024 CON3052S Examination Practice Questions/"/>
    </mc:Choice>
  </mc:AlternateContent>
  <xr:revisionPtr revIDLastSave="0" documentId="13_ncr:1_{96DE8221-F89A-934F-8E5D-B1B18C57659C}" xr6:coauthVersionLast="47" xr6:coauthVersionMax="47" xr10:uidLastSave="{00000000-0000-0000-0000-000000000000}"/>
  <bookViews>
    <workbookView xWindow="33600" yWindow="3140" windowWidth="38400" windowHeight="20980" xr2:uid="{0B5DFEDF-B1F7-4D6F-8A49-6099A03B5DD0}"/>
  </bookViews>
  <sheets>
    <sheet name="Questions 1-10" sheetId="19" r:id="rId1"/>
    <sheet name="Question 11-20" sheetId="20" r:id="rId2"/>
    <sheet name="Question 11" sheetId="9" r:id="rId3"/>
    <sheet name="Question 12" sheetId="10" r:id="rId4"/>
    <sheet name="Question 13" sheetId="11" r:id="rId5"/>
    <sheet name="Question 14" sheetId="12" r:id="rId6"/>
    <sheet name="Question 15" sheetId="13" r:id="rId7"/>
    <sheet name="Question 16" sheetId="14" r:id="rId8"/>
    <sheet name="Question 17" sheetId="15" r:id="rId9"/>
    <sheet name="Question 18" sheetId="16" r:id="rId10"/>
    <sheet name="Question 19" sheetId="17" r:id="rId11"/>
    <sheet name="Question 20" sheetId="18" r:id="rId12"/>
    <sheet name="Question 21" sheetId="8" r:id="rId13"/>
    <sheet name="Question 22" sheetId="1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10" l="1"/>
  <c r="G5" i="10"/>
  <c r="G4" i="10"/>
  <c r="F4" i="10"/>
  <c r="F11" i="10" s="1"/>
  <c r="E4" i="10"/>
  <c r="E11" i="10" s="1"/>
  <c r="G11" i="10"/>
  <c r="G12" i="10"/>
  <c r="C4" i="18"/>
  <c r="C3" i="18"/>
  <c r="D3" i="18" s="1"/>
  <c r="D4" i="18" s="1"/>
  <c r="E8" i="17"/>
  <c r="D7" i="17"/>
  <c r="C6" i="17"/>
  <c r="D5" i="17"/>
  <c r="D4" i="17"/>
  <c r="D3" i="17"/>
  <c r="D5" i="16"/>
  <c r="D8" i="16" s="1"/>
  <c r="D10" i="16" s="1"/>
  <c r="D5" i="15"/>
  <c r="D4" i="15"/>
  <c r="D3" i="15"/>
  <c r="D15" i="14"/>
  <c r="C10" i="14"/>
  <c r="C9" i="14"/>
  <c r="C8" i="14"/>
  <c r="C7" i="14"/>
  <c r="C11" i="14" s="1"/>
  <c r="C7" i="13"/>
  <c r="C18" i="12"/>
  <c r="D18" i="12" s="1"/>
  <c r="C17" i="12"/>
  <c r="D17" i="12" s="1"/>
  <c r="C16" i="12"/>
  <c r="D16" i="12" s="1"/>
  <c r="C9" i="12"/>
  <c r="C12" i="12" s="1"/>
  <c r="C22" i="12" s="1"/>
  <c r="D22" i="12" s="1"/>
  <c r="C7" i="12"/>
  <c r="C5" i="12"/>
  <c r="C8" i="12" s="1"/>
  <c r="C10" i="12" s="1"/>
  <c r="C18" i="11"/>
  <c r="D18" i="11" s="1"/>
  <c r="C17" i="11"/>
  <c r="D17" i="11" s="1"/>
  <c r="C16" i="11"/>
  <c r="D16" i="11" s="1"/>
  <c r="C7" i="11"/>
  <c r="C9" i="11" s="1"/>
  <c r="C5" i="11"/>
  <c r="C8" i="11" s="1"/>
  <c r="C10" i="11" s="1"/>
  <c r="D5" i="9"/>
  <c r="D8" i="9" s="1"/>
  <c r="D10" i="9" s="1"/>
  <c r="N26" i="8"/>
  <c r="M26" i="8"/>
  <c r="O26" i="8" s="1"/>
  <c r="G26" i="8"/>
  <c r="K26" i="8" s="1"/>
  <c r="N25" i="8"/>
  <c r="M25" i="8"/>
  <c r="O25" i="8" s="1"/>
  <c r="G25" i="8"/>
  <c r="K25" i="8" s="1"/>
  <c r="N24" i="8"/>
  <c r="M24" i="8"/>
  <c r="O24" i="8" s="1"/>
  <c r="G24" i="8"/>
  <c r="K24" i="8" s="1"/>
  <c r="N23" i="8"/>
  <c r="M23" i="8"/>
  <c r="O23" i="8" s="1"/>
  <c r="G23" i="8"/>
  <c r="K23" i="8" s="1"/>
  <c r="N22" i="8"/>
  <c r="M22" i="8"/>
  <c r="O22" i="8" s="1"/>
  <c r="G22" i="8"/>
  <c r="K22" i="8" s="1"/>
  <c r="N21" i="8"/>
  <c r="M21" i="8"/>
  <c r="O21" i="8" s="1"/>
  <c r="G21" i="8"/>
  <c r="K21" i="8" s="1"/>
  <c r="N20" i="8"/>
  <c r="M20" i="8"/>
  <c r="O20" i="8" s="1"/>
  <c r="G20" i="8"/>
  <c r="K20" i="8" s="1"/>
  <c r="N19" i="8"/>
  <c r="M19" i="8"/>
  <c r="O19" i="8" s="1"/>
  <c r="G19" i="8"/>
  <c r="K19" i="8" s="1"/>
  <c r="N18" i="8"/>
  <c r="M18" i="8"/>
  <c r="O18" i="8" s="1"/>
  <c r="G18" i="8"/>
  <c r="K18" i="8" s="1"/>
  <c r="N17" i="8"/>
  <c r="M17" i="8"/>
  <c r="O17" i="8" s="1"/>
  <c r="G17" i="8"/>
  <c r="K17" i="8" s="1"/>
  <c r="N16" i="8"/>
  <c r="M16" i="8"/>
  <c r="O16" i="8" s="1"/>
  <c r="G16" i="8"/>
  <c r="K16" i="8" s="1"/>
  <c r="N15" i="8"/>
  <c r="M15" i="8"/>
  <c r="O15" i="8" s="1"/>
  <c r="G15" i="8"/>
  <c r="K15" i="8" s="1"/>
  <c r="N14" i="8"/>
  <c r="M14" i="8"/>
  <c r="O14" i="8" s="1"/>
  <c r="G14" i="8"/>
  <c r="K14" i="8" s="1"/>
  <c r="N13" i="8"/>
  <c r="M13" i="8"/>
  <c r="O13" i="8" s="1"/>
  <c r="G13" i="8"/>
  <c r="K13" i="8" s="1"/>
  <c r="N12" i="8"/>
  <c r="M12" i="8"/>
  <c r="O12" i="8" s="1"/>
  <c r="G12" i="8"/>
  <c r="K12" i="8" s="1"/>
  <c r="N11" i="8"/>
  <c r="M11" i="8"/>
  <c r="O11" i="8" s="1"/>
  <c r="G11" i="8"/>
  <c r="K11" i="8" s="1"/>
  <c r="N10" i="8"/>
  <c r="M10" i="8"/>
  <c r="O10" i="8" s="1"/>
  <c r="G10" i="8"/>
  <c r="K10" i="8" s="1"/>
  <c r="N9" i="8"/>
  <c r="M9" i="8"/>
  <c r="O9" i="8" s="1"/>
  <c r="G9" i="8"/>
  <c r="K9" i="8" s="1"/>
  <c r="N8" i="8"/>
  <c r="M8" i="8"/>
  <c r="O8" i="8" s="1"/>
  <c r="G8" i="8"/>
  <c r="K8" i="8" s="1"/>
  <c r="N7" i="8"/>
  <c r="M7" i="8"/>
  <c r="O7" i="8" s="1"/>
  <c r="G7" i="8"/>
  <c r="K7" i="8" s="1"/>
  <c r="N6" i="8"/>
  <c r="M6" i="8"/>
  <c r="O6" i="8" s="1"/>
  <c r="G6" i="8"/>
  <c r="K6" i="8" s="1"/>
  <c r="N5" i="8"/>
  <c r="M5" i="8"/>
  <c r="O5" i="8" s="1"/>
  <c r="G5" i="8"/>
  <c r="K5" i="8" s="1"/>
  <c r="N4" i="8"/>
  <c r="M4" i="8"/>
  <c r="O4" i="8" s="1"/>
  <c r="G4" i="8"/>
  <c r="I4" i="8" s="1"/>
  <c r="J4" i="8" s="1"/>
  <c r="O3" i="8"/>
  <c r="P3" i="8" s="1"/>
  <c r="P4" i="8" s="1"/>
  <c r="P5" i="8" s="1"/>
  <c r="P6" i="8" s="1"/>
  <c r="P7" i="8" s="1"/>
  <c r="P8" i="8" s="1"/>
  <c r="P9" i="8" s="1"/>
  <c r="P10" i="8" s="1"/>
  <c r="P11" i="8" s="1"/>
  <c r="P12" i="8" s="1"/>
  <c r="P13" i="8" s="1"/>
  <c r="P14" i="8" s="1"/>
  <c r="P15" i="8" s="1"/>
  <c r="P16" i="8" s="1"/>
  <c r="P17" i="8" s="1"/>
  <c r="P18" i="8" s="1"/>
  <c r="P19" i="8" s="1"/>
  <c r="P20" i="8" s="1"/>
  <c r="P21" i="8" s="1"/>
  <c r="P22" i="8" s="1"/>
  <c r="P23" i="8" s="1"/>
  <c r="P24" i="8" s="1"/>
  <c r="P25" i="8" s="1"/>
  <c r="P26" i="8" s="1"/>
  <c r="N3" i="8"/>
  <c r="M3" i="8"/>
  <c r="G3" i="8"/>
  <c r="H3" i="8" s="1"/>
  <c r="H4" i="8" s="1"/>
  <c r="H5" i="8" s="1"/>
  <c r="H6" i="8" s="1"/>
  <c r="H7" i="8" s="1"/>
  <c r="H8" i="8" s="1"/>
  <c r="H9" i="8" s="1"/>
  <c r="H10" i="8" s="1"/>
  <c r="H11" i="8" s="1"/>
  <c r="H12" i="8" s="1"/>
  <c r="H13" i="8" s="1"/>
  <c r="H14" i="8" s="1"/>
  <c r="H15" i="8" s="1"/>
  <c r="H16" i="8" s="1"/>
  <c r="H17" i="8" s="1"/>
  <c r="H18" i="8" s="1"/>
  <c r="H19" i="8" s="1"/>
  <c r="H20" i="8" s="1"/>
  <c r="H21" i="8" s="1"/>
  <c r="H22" i="8" s="1"/>
  <c r="H23" i="8" s="1"/>
  <c r="H24" i="8" s="1"/>
  <c r="H25" i="8" s="1"/>
  <c r="H26" i="8" s="1"/>
  <c r="N2" i="8"/>
  <c r="M2" i="8"/>
  <c r="E2" i="8"/>
  <c r="D2" i="8"/>
  <c r="F5" i="10" l="1"/>
  <c r="F12" i="10" s="1"/>
  <c r="H4" i="10"/>
  <c r="J4" i="10" s="1"/>
  <c r="H11" i="10"/>
  <c r="J11" i="10" s="1"/>
  <c r="F19" i="10" s="1"/>
  <c r="E5" i="10"/>
  <c r="H5" i="10"/>
  <c r="J5" i="10" s="1"/>
  <c r="L5" i="10" s="1"/>
  <c r="M5" i="10" s="1"/>
  <c r="E12" i="10"/>
  <c r="H12" i="10" s="1"/>
  <c r="F17" i="10" s="1"/>
  <c r="F18" i="10" s="1"/>
  <c r="I12" i="10" s="1"/>
  <c r="J12" i="10" s="1"/>
  <c r="C14" i="14"/>
  <c r="C12" i="14"/>
  <c r="C13" i="14" s="1"/>
  <c r="C12" i="11"/>
  <c r="C22" i="11" s="1"/>
  <c r="D22" i="11" s="1"/>
  <c r="S15" i="8"/>
  <c r="Q15" i="8"/>
  <c r="S12" i="8"/>
  <c r="Q12" i="8"/>
  <c r="S7" i="8"/>
  <c r="Q7" i="8"/>
  <c r="S8" i="8"/>
  <c r="Q8" i="8"/>
  <c r="R8" i="8" s="1"/>
  <c r="S24" i="8"/>
  <c r="Q24" i="8"/>
  <c r="R24" i="8" s="1"/>
  <c r="S5" i="8"/>
  <c r="Q5" i="8"/>
  <c r="R5" i="8" s="1"/>
  <c r="S13" i="8"/>
  <c r="Q13" i="8"/>
  <c r="S17" i="8"/>
  <c r="Q17" i="8"/>
  <c r="S25" i="8"/>
  <c r="Q25" i="8"/>
  <c r="S23" i="8"/>
  <c r="Q23" i="8"/>
  <c r="S4" i="8"/>
  <c r="Q4" i="8"/>
  <c r="R4" i="8" s="1"/>
  <c r="S16" i="8"/>
  <c r="Q16" i="8"/>
  <c r="R16" i="8" s="1"/>
  <c r="S21" i="8"/>
  <c r="Q21" i="8"/>
  <c r="S19" i="8"/>
  <c r="Q19" i="8"/>
  <c r="S20" i="8"/>
  <c r="Q20" i="8"/>
  <c r="R20" i="8" s="1"/>
  <c r="S11" i="8"/>
  <c r="Q11" i="8"/>
  <c r="R11" i="8" s="1"/>
  <c r="S9" i="8"/>
  <c r="Q9" i="8"/>
  <c r="R9" i="8" s="1"/>
  <c r="S6" i="8"/>
  <c r="Q6" i="8"/>
  <c r="S10" i="8"/>
  <c r="Q10" i="8"/>
  <c r="S14" i="8"/>
  <c r="Q14" i="8"/>
  <c r="R14" i="8" s="1"/>
  <c r="S18" i="8"/>
  <c r="Q18" i="8"/>
  <c r="R18" i="8" s="1"/>
  <c r="S22" i="8"/>
  <c r="Q22" i="8"/>
  <c r="R22" i="8" s="1"/>
  <c r="S26" i="8"/>
  <c r="Q26" i="8"/>
  <c r="R26" i="8" s="1"/>
  <c r="I5" i="8"/>
  <c r="J5" i="8" s="1"/>
  <c r="I6" i="8"/>
  <c r="I7" i="8"/>
  <c r="I8" i="8"/>
  <c r="I9" i="8"/>
  <c r="J9" i="8" s="1"/>
  <c r="I10" i="8"/>
  <c r="J10" i="8" s="1"/>
  <c r="I11" i="8"/>
  <c r="J11" i="8" s="1"/>
  <c r="I12" i="8"/>
  <c r="J12" i="8" s="1"/>
  <c r="I13" i="8"/>
  <c r="J13" i="8" s="1"/>
  <c r="I14" i="8"/>
  <c r="J14" i="8" s="1"/>
  <c r="I15" i="8"/>
  <c r="J15" i="8" s="1"/>
  <c r="I16" i="8"/>
  <c r="J16" i="8" s="1"/>
  <c r="I17" i="8"/>
  <c r="J17" i="8" s="1"/>
  <c r="I18" i="8"/>
  <c r="J18" i="8" s="1"/>
  <c r="I19" i="8"/>
  <c r="I20" i="8"/>
  <c r="I21" i="8"/>
  <c r="J21" i="8" s="1"/>
  <c r="I22" i="8"/>
  <c r="J22" i="8" s="1"/>
  <c r="I23" i="8"/>
  <c r="J23" i="8" s="1"/>
  <c r="I24" i="8"/>
  <c r="J24" i="8" s="1"/>
  <c r="I25" i="8"/>
  <c r="J25" i="8" s="1"/>
  <c r="I26" i="8"/>
  <c r="J26" i="8" s="1"/>
  <c r="K4" i="8"/>
  <c r="K5" i="10" l="1"/>
  <c r="F20" i="10"/>
  <c r="L12" i="10"/>
  <c r="M12" i="10" s="1"/>
  <c r="K12" i="10"/>
  <c r="R25" i="8"/>
  <c r="R6" i="8"/>
  <c r="R7" i="8"/>
  <c r="R19" i="8"/>
  <c r="R17" i="8"/>
  <c r="R12" i="8"/>
  <c r="J6" i="8"/>
  <c r="R23" i="8"/>
  <c r="J20" i="8"/>
  <c r="J8" i="8"/>
  <c r="R10" i="8"/>
  <c r="R21" i="8"/>
  <c r="R13" i="8"/>
  <c r="R15" i="8"/>
  <c r="J19" i="8"/>
  <c r="J7" i="8"/>
  <c r="E84" i="1"/>
  <c r="F84" i="1" s="1"/>
  <c r="E83" i="1"/>
  <c r="F83" i="1" s="1"/>
  <c r="E82" i="1"/>
  <c r="F82" i="1" s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55" i="1" s="1"/>
  <c r="E4" i="1"/>
  <c r="F40" i="1" l="1"/>
  <c r="G40" i="1" s="1"/>
  <c r="F48" i="1"/>
  <c r="G48" i="1" s="1"/>
  <c r="F25" i="1"/>
  <c r="G25" i="1" s="1"/>
  <c r="F33" i="1"/>
  <c r="G33" i="1" s="1"/>
  <c r="F35" i="1"/>
  <c r="G35" i="1" s="1"/>
  <c r="F43" i="1"/>
  <c r="G43" i="1" s="1"/>
  <c r="F54" i="1"/>
  <c r="E59" i="1"/>
  <c r="G59" i="1"/>
  <c r="F59" i="1"/>
  <c r="F28" i="1"/>
  <c r="G28" i="1" s="1"/>
  <c r="F36" i="1"/>
  <c r="G36" i="1" s="1"/>
  <c r="F45" i="1"/>
  <c r="G45" i="1" s="1"/>
  <c r="E72" i="1"/>
  <c r="E54" i="1"/>
  <c r="E62" i="1"/>
  <c r="E53" i="1"/>
  <c r="F31" i="1" s="1"/>
  <c r="G31" i="1" s="1"/>
  <c r="E64" i="1"/>
  <c r="E63" i="1"/>
  <c r="H31" i="1" l="1"/>
  <c r="J31" i="1"/>
  <c r="J36" i="1"/>
  <c r="H36" i="1"/>
  <c r="J43" i="1"/>
  <c r="H43" i="1"/>
  <c r="J28" i="1"/>
  <c r="H28" i="1"/>
  <c r="H40" i="1"/>
  <c r="J40" i="1"/>
  <c r="F37" i="1"/>
  <c r="G37" i="1" s="1"/>
  <c r="F16" i="1"/>
  <c r="G16" i="1" s="1"/>
  <c r="F27" i="1"/>
  <c r="G27" i="1" s="1"/>
  <c r="F20" i="1"/>
  <c r="G20" i="1" s="1"/>
  <c r="F32" i="1"/>
  <c r="G32" i="1" s="1"/>
  <c r="F21" i="1"/>
  <c r="G21" i="1" s="1"/>
  <c r="F9" i="1"/>
  <c r="G9" i="1" s="1"/>
  <c r="F24" i="1"/>
  <c r="G24" i="1" s="1"/>
  <c r="F4" i="1"/>
  <c r="G4" i="1" s="1"/>
  <c r="F19" i="1"/>
  <c r="G19" i="1" s="1"/>
  <c r="F15" i="1"/>
  <c r="G15" i="1" s="1"/>
  <c r="F47" i="1"/>
  <c r="G47" i="1" s="1"/>
  <c r="F8" i="1"/>
  <c r="G8" i="1" s="1"/>
  <c r="J33" i="1"/>
  <c r="H33" i="1"/>
  <c r="J45" i="1"/>
  <c r="H45" i="1"/>
  <c r="J35" i="1"/>
  <c r="H35" i="1"/>
  <c r="F29" i="1"/>
  <c r="G29" i="1" s="1"/>
  <c r="F7" i="1"/>
  <c r="G7" i="1" s="1"/>
  <c r="F11" i="1"/>
  <c r="G11" i="1" s="1"/>
  <c r="F49" i="1"/>
  <c r="G49" i="1" s="1"/>
  <c r="F39" i="1"/>
  <c r="G39" i="1" s="1"/>
  <c r="H48" i="1"/>
  <c r="J48" i="1"/>
  <c r="J25" i="1"/>
  <c r="H25" i="1"/>
  <c r="F34" i="1"/>
  <c r="G34" i="1" s="1"/>
  <c r="F26" i="1"/>
  <c r="G26" i="1" s="1"/>
  <c r="F18" i="1"/>
  <c r="G18" i="1" s="1"/>
  <c r="F46" i="1"/>
  <c r="G46" i="1" s="1"/>
  <c r="F38" i="1"/>
  <c r="G38" i="1" s="1"/>
  <c r="F30" i="1"/>
  <c r="G30" i="1" s="1"/>
  <c r="F50" i="1"/>
  <c r="G50" i="1" s="1"/>
  <c r="F42" i="1"/>
  <c r="G42" i="1" s="1"/>
  <c r="F10" i="1"/>
  <c r="G10" i="1" s="1"/>
  <c r="F22" i="1"/>
  <c r="G22" i="1" s="1"/>
  <c r="F6" i="1"/>
  <c r="G6" i="1" s="1"/>
  <c r="F14" i="1"/>
  <c r="G14" i="1" s="1"/>
  <c r="F17" i="1"/>
  <c r="G17" i="1" s="1"/>
  <c r="F12" i="1"/>
  <c r="G12" i="1" s="1"/>
  <c r="F5" i="1"/>
  <c r="G5" i="1" s="1"/>
  <c r="F44" i="1"/>
  <c r="G44" i="1" s="1"/>
  <c r="F41" i="1"/>
  <c r="G41" i="1" s="1"/>
  <c r="F13" i="1"/>
  <c r="G13" i="1" s="1"/>
  <c r="F23" i="1"/>
  <c r="G23" i="1" s="1"/>
  <c r="H7" i="1" l="1"/>
  <c r="J7" i="1"/>
  <c r="J42" i="1"/>
  <c r="H42" i="1"/>
  <c r="J5" i="1"/>
  <c r="H5" i="1"/>
  <c r="J50" i="1"/>
  <c r="H50" i="1"/>
  <c r="H47" i="1"/>
  <c r="J47" i="1"/>
  <c r="J20" i="1"/>
  <c r="H20" i="1"/>
  <c r="J34" i="1"/>
  <c r="H34" i="1"/>
  <c r="J44" i="1"/>
  <c r="H44" i="1"/>
  <c r="H32" i="1"/>
  <c r="J32" i="1"/>
  <c r="H15" i="1"/>
  <c r="J15" i="1"/>
  <c r="H38" i="1"/>
  <c r="J38" i="1"/>
  <c r="J19" i="1"/>
  <c r="H19" i="1"/>
  <c r="J16" i="1"/>
  <c r="H16" i="1"/>
  <c r="J29" i="1"/>
  <c r="H29" i="1"/>
  <c r="J27" i="1"/>
  <c r="H27" i="1"/>
  <c r="H39" i="1"/>
  <c r="J39" i="1"/>
  <c r="J4" i="1"/>
  <c r="H4" i="1"/>
  <c r="J37" i="1"/>
  <c r="H37" i="1"/>
  <c r="J10" i="1"/>
  <c r="H10" i="1"/>
  <c r="J12" i="1"/>
  <c r="H12" i="1"/>
  <c r="H14" i="1"/>
  <c r="J14" i="1"/>
  <c r="H23" i="1"/>
  <c r="J23" i="1"/>
  <c r="J18" i="1"/>
  <c r="H18" i="1"/>
  <c r="J49" i="1"/>
  <c r="H49" i="1"/>
  <c r="J24" i="1"/>
  <c r="H24" i="1"/>
  <c r="J41" i="1"/>
  <c r="H41" i="1"/>
  <c r="J21" i="1"/>
  <c r="H21" i="1"/>
  <c r="H8" i="1"/>
  <c r="J8" i="1"/>
  <c r="H30" i="1"/>
  <c r="J30" i="1"/>
  <c r="J17" i="1"/>
  <c r="H17" i="1"/>
  <c r="H46" i="1"/>
  <c r="J46" i="1"/>
  <c r="H6" i="1"/>
  <c r="J6" i="1"/>
  <c r="J13" i="1"/>
  <c r="H13" i="1"/>
  <c r="H22" i="1"/>
  <c r="J22" i="1"/>
  <c r="J26" i="1"/>
  <c r="H26" i="1"/>
  <c r="J11" i="1"/>
  <c r="H11" i="1"/>
  <c r="J9" i="1"/>
  <c r="H9" i="1"/>
  <c r="H52" i="1" l="1"/>
  <c r="E56" i="1" s="1"/>
  <c r="E58" i="1" s="1"/>
  <c r="E70" i="1" s="1"/>
  <c r="E73" i="1" s="1"/>
  <c r="E75" i="1" s="1"/>
  <c r="J53" i="1"/>
  <c r="E65" i="1" s="1"/>
  <c r="E66" i="1" s="1"/>
  <c r="E71" i="1" s="1"/>
  <c r="E74" i="1" s="1"/>
  <c r="E76" i="1" s="1"/>
  <c r="E78" i="1" l="1"/>
  <c r="E88" i="1" s="1"/>
  <c r="F88" i="1" s="1"/>
</calcChain>
</file>

<file path=xl/sharedStrings.xml><?xml version="1.0" encoding="utf-8"?>
<sst xmlns="http://schemas.openxmlformats.org/spreadsheetml/2006/main" count="198" uniqueCount="112">
  <si>
    <t>SKEWNESS</t>
  </si>
  <si>
    <t>KURTOSIS</t>
  </si>
  <si>
    <t>Date</t>
  </si>
  <si>
    <t>SAPY Index</t>
  </si>
  <si>
    <t>Return</t>
  </si>
  <si>
    <t>r-r̄</t>
  </si>
  <si>
    <r>
      <t>(r-r̄)/</t>
    </r>
    <r>
      <rPr>
        <b/>
        <sz val="11"/>
        <color theme="1"/>
        <rFont val="Calibri"/>
        <family val="2"/>
      </rPr>
      <t>σ</t>
    </r>
  </si>
  <si>
    <r>
      <t>[(r-r̄)/</t>
    </r>
    <r>
      <rPr>
        <b/>
        <sz val="11"/>
        <color theme="1"/>
        <rFont val="Calibri"/>
        <family val="2"/>
      </rPr>
      <t>σ]</t>
    </r>
    <r>
      <rPr>
        <b/>
        <vertAlign val="superscript"/>
        <sz val="11"/>
        <color theme="1"/>
        <rFont val="Calibri"/>
        <family val="2"/>
      </rPr>
      <t>3</t>
    </r>
  </si>
  <si>
    <r>
      <t>[(r-r̄)/</t>
    </r>
    <r>
      <rPr>
        <b/>
        <sz val="11"/>
        <color rgb="FFFF0000"/>
        <rFont val="Calibri"/>
        <family val="2"/>
      </rPr>
      <t>σ]</t>
    </r>
    <r>
      <rPr>
        <b/>
        <vertAlign val="superscript"/>
        <sz val="11"/>
        <color rgb="FFFF0000"/>
        <rFont val="Calibri"/>
        <family val="2"/>
      </rPr>
      <t>4</t>
    </r>
  </si>
  <si>
    <t>SKEWNESS:</t>
  </si>
  <si>
    <r>
      <rPr>
        <b/>
        <sz val="11"/>
        <color theme="1"/>
        <rFont val="Calibri"/>
        <family val="2"/>
      </rPr>
      <t>∑</t>
    </r>
    <r>
      <rPr>
        <b/>
        <sz val="11"/>
        <color theme="1"/>
        <rFont val="Arial"/>
        <family val="2"/>
      </rPr>
      <t>[(r-r̄)/</t>
    </r>
    <r>
      <rPr>
        <b/>
        <sz val="11"/>
        <color theme="1"/>
        <rFont val="Calibri"/>
        <family val="2"/>
      </rPr>
      <t>σ]</t>
    </r>
    <r>
      <rPr>
        <b/>
        <vertAlign val="superscript"/>
        <sz val="11"/>
        <color theme="1"/>
        <rFont val="Calibri"/>
        <family val="2"/>
      </rPr>
      <t>3</t>
    </r>
  </si>
  <si>
    <t>Average (r̄)</t>
  </si>
  <si>
    <r>
      <rPr>
        <b/>
        <sz val="11"/>
        <color rgb="FFFF0000"/>
        <rFont val="Calibri"/>
        <family val="2"/>
      </rPr>
      <t>∑</t>
    </r>
    <r>
      <rPr>
        <b/>
        <sz val="11"/>
        <color rgb="FFFF0000"/>
        <rFont val="Arial"/>
        <family val="2"/>
      </rPr>
      <t>[(r-r̄)/</t>
    </r>
    <r>
      <rPr>
        <b/>
        <sz val="11"/>
        <color rgb="FFFF0000"/>
        <rFont val="Calibri"/>
        <family val="2"/>
      </rPr>
      <t>σ]</t>
    </r>
    <r>
      <rPr>
        <b/>
        <vertAlign val="superscript"/>
        <sz val="11"/>
        <color rgb="FFFF0000"/>
        <rFont val="Calibri"/>
        <family val="2"/>
      </rPr>
      <t>4</t>
    </r>
  </si>
  <si>
    <t>Population Standard Deviation (σ)</t>
  </si>
  <si>
    <t>N</t>
  </si>
  <si>
    <t xml:space="preserve">Population Skewness </t>
  </si>
  <si>
    <t>Population Skewness (using excel)</t>
  </si>
  <si>
    <t xml:space="preserve">KURTOSIS: </t>
  </si>
  <si>
    <t xml:space="preserve">Population Kurtosis </t>
  </si>
  <si>
    <t>JARQUE BERA TEST</t>
  </si>
  <si>
    <t>Skewness (S)</t>
  </si>
  <si>
    <t>Kurtosis (K-3)</t>
  </si>
  <si>
    <t xml:space="preserve">&lt;- Note that the formula used for the population kurtosis does not automatically subtract 3. </t>
  </si>
  <si>
    <t>n</t>
  </si>
  <si>
    <r>
      <t>S</t>
    </r>
    <r>
      <rPr>
        <vertAlign val="superscript"/>
        <sz val="11"/>
        <color theme="1"/>
        <rFont val="Calibri (Body)"/>
      </rPr>
      <t>2</t>
    </r>
  </si>
  <si>
    <r>
      <t>(K-3)</t>
    </r>
    <r>
      <rPr>
        <vertAlign val="superscript"/>
        <sz val="11"/>
        <color theme="1"/>
        <rFont val="Calibri (Body)"/>
      </rPr>
      <t>2</t>
    </r>
  </si>
  <si>
    <r>
      <t>S</t>
    </r>
    <r>
      <rPr>
        <vertAlign val="superscript"/>
        <sz val="11"/>
        <color theme="1"/>
        <rFont val="Calibri (Body)"/>
      </rPr>
      <t>2</t>
    </r>
    <r>
      <rPr>
        <sz val="11"/>
        <color theme="1"/>
        <rFont val="Calibri"/>
        <family val="2"/>
        <scheme val="minor"/>
      </rPr>
      <t>/6</t>
    </r>
  </si>
  <si>
    <r>
      <t>(K-3)</t>
    </r>
    <r>
      <rPr>
        <vertAlign val="superscript"/>
        <sz val="11"/>
        <color theme="1"/>
        <rFont val="Calibri (Body)"/>
      </rPr>
      <t>2</t>
    </r>
    <r>
      <rPr>
        <sz val="11"/>
        <color theme="1"/>
        <rFont val="Calibri"/>
        <family val="2"/>
        <scheme val="minor"/>
      </rPr>
      <t>/24</t>
    </r>
  </si>
  <si>
    <t>JB</t>
  </si>
  <si>
    <t>Statistical Significance of JB Statistic - Approach 1</t>
  </si>
  <si>
    <t>Decision</t>
  </si>
  <si>
    <t>Chi-square critical value at 1%</t>
  </si>
  <si>
    <t>Chi-square critical value at 5%</t>
  </si>
  <si>
    <t>Chi-square critical value at 10%</t>
  </si>
  <si>
    <t>Statistical Significance of JB Statistic - Approach 2</t>
  </si>
  <si>
    <t>Probability Level</t>
  </si>
  <si>
    <t xml:space="preserve">Stock Prices </t>
  </si>
  <si>
    <t>No. of shares outstanding</t>
  </si>
  <si>
    <t>Sum of Stock Prices</t>
  </si>
  <si>
    <t>Divisor</t>
  </si>
  <si>
    <t xml:space="preserve">Price Weighted Index </t>
  </si>
  <si>
    <t>Price Return 1</t>
  </si>
  <si>
    <t>Price Return 2</t>
  </si>
  <si>
    <t>Market Value - Calculated</t>
  </si>
  <si>
    <t>Sum of Market Values</t>
  </si>
  <si>
    <t>Value-weighted index</t>
  </si>
  <si>
    <t>Price Return 1 (Value-Weighted)</t>
  </si>
  <si>
    <t xml:space="preserve">Price Return 2 (Value-Weighted) </t>
  </si>
  <si>
    <t>Delta</t>
  </si>
  <si>
    <t>Equites</t>
  </si>
  <si>
    <t>Average Return</t>
  </si>
  <si>
    <t>Standard Deviation</t>
  </si>
  <si>
    <t>Target return A</t>
  </si>
  <si>
    <t>Z-score A</t>
  </si>
  <si>
    <t xml:space="preserve">NORM.S.DIST </t>
  </si>
  <si>
    <t>P(Z&lt;A)</t>
  </si>
  <si>
    <t>P(Z&gt;A)</t>
  </si>
  <si>
    <t xml:space="preserve">Without Adjusting Divisor: </t>
  </si>
  <si>
    <t>Period</t>
  </si>
  <si>
    <t>A</t>
  </si>
  <si>
    <t>B</t>
  </si>
  <si>
    <t>C</t>
  </si>
  <si>
    <t>Sum</t>
  </si>
  <si>
    <t>Price Index 1</t>
  </si>
  <si>
    <t>Change in Price Index 1 (%)</t>
  </si>
  <si>
    <t>Price Index 2</t>
  </si>
  <si>
    <t>Change in Price Index  2 (%)</t>
  </si>
  <si>
    <t>Initial Price</t>
  </si>
  <si>
    <t>-</t>
  </si>
  <si>
    <t>Price just after stock split</t>
  </si>
  <si>
    <t xml:space="preserve">Adjusting Divisor: </t>
  </si>
  <si>
    <t>New Divisor:</t>
  </si>
  <si>
    <t>New Sum of Prices</t>
  </si>
  <si>
    <t>Price Index (should remain)</t>
  </si>
  <si>
    <t xml:space="preserve">Testing: </t>
  </si>
  <si>
    <t>Kurtosis</t>
  </si>
  <si>
    <t>Excess Kurtosis (K-3)</t>
  </si>
  <si>
    <r>
      <t>S</t>
    </r>
    <r>
      <rPr>
        <vertAlign val="superscript"/>
        <sz val="11"/>
        <color theme="1"/>
        <rFont val="Calibri"/>
        <family val="2"/>
      </rPr>
      <t>2</t>
    </r>
  </si>
  <si>
    <r>
      <t>(K-3)</t>
    </r>
    <r>
      <rPr>
        <vertAlign val="superscript"/>
        <sz val="11"/>
        <color theme="1"/>
        <rFont val="Calibri"/>
        <family val="2"/>
      </rPr>
      <t>2</t>
    </r>
  </si>
  <si>
    <r>
      <t>S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/6</t>
    </r>
  </si>
  <si>
    <r>
      <t>(K-3)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/24</t>
    </r>
  </si>
  <si>
    <t xml:space="preserve">Conclusion </t>
  </si>
  <si>
    <t>BMV</t>
  </si>
  <si>
    <t>EMV</t>
  </si>
  <si>
    <t>CAGR</t>
  </si>
  <si>
    <t>Number of Shares</t>
  </si>
  <si>
    <t>Po</t>
  </si>
  <si>
    <t>P1</t>
  </si>
  <si>
    <t>D</t>
  </si>
  <si>
    <t xml:space="preserve">Number of years </t>
  </si>
  <si>
    <t>Beginning Market Value</t>
  </si>
  <si>
    <t>Total Dividend Income</t>
  </si>
  <si>
    <t xml:space="preserve">Capital Gains </t>
  </si>
  <si>
    <t>Mark</t>
  </si>
  <si>
    <t>Total Rand Return</t>
  </si>
  <si>
    <t>Ending Market Value</t>
  </si>
  <si>
    <t>Marks</t>
  </si>
  <si>
    <t>HPR</t>
  </si>
  <si>
    <t>HPY</t>
  </si>
  <si>
    <t>Annualised HPY</t>
  </si>
  <si>
    <t>TRI</t>
  </si>
  <si>
    <t>AM</t>
  </si>
  <si>
    <t>GM</t>
  </si>
  <si>
    <t>Original Index</t>
  </si>
  <si>
    <t>Index Returns</t>
  </si>
  <si>
    <t>Rebased Index</t>
  </si>
  <si>
    <t xml:space="preserve">Stock Prices: </t>
  </si>
  <si>
    <t>Stock A</t>
  </si>
  <si>
    <t>Stock B</t>
  </si>
  <si>
    <t>Stock C</t>
  </si>
  <si>
    <t>Split Factor</t>
  </si>
  <si>
    <t>New Divisor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</si>
</sst>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000"/>
    <numFmt numFmtId="165" formatCode="0.0000"/>
    <numFmt numFmtId="166" formatCode="0.00000"/>
    <numFmt numFmtId="167" formatCode="0.0000000"/>
    <numFmt numFmtId="168" formatCode="0.000000000"/>
    <numFmt numFmtId="169" formatCode="0.00000000"/>
    <numFmt numFmtId="170" formatCode="0.0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b/>
      <sz val="11"/>
      <color rgb="FFFF0000"/>
      <name val="Arial"/>
      <family val="2"/>
    </font>
    <font>
      <b/>
      <sz val="11"/>
      <color rgb="FFFF0000"/>
      <name val="Calibri"/>
      <family val="2"/>
    </font>
    <font>
      <b/>
      <vertAlign val="superscript"/>
      <sz val="11"/>
      <color rgb="FFFF0000"/>
      <name val="Calibri"/>
      <family val="2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Arial"/>
      <family val="2"/>
    </font>
    <font>
      <sz val="11"/>
      <color theme="1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color theme="1"/>
      <name val="Calibri (Body)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</font>
    <font>
      <sz val="12"/>
      <color theme="1"/>
      <name val="Calibri"/>
      <family val="2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vertAlign val="superscript"/>
      <sz val="11"/>
      <color theme="1"/>
      <name val="Calibri"/>
      <family val="2"/>
    </font>
    <font>
      <sz val="11.5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0" fontId="3" fillId="0" borderId="0"/>
    <xf numFmtId="0" fontId="20" fillId="0" borderId="0"/>
    <xf numFmtId="0" fontId="2" fillId="0" borderId="0"/>
    <xf numFmtId="0" fontId="20" fillId="0" borderId="0"/>
    <xf numFmtId="9" fontId="20" fillId="0" borderId="0" applyFont="0" applyFill="0" applyBorder="0" applyAlignment="0" applyProtection="0"/>
    <xf numFmtId="0" fontId="2" fillId="0" borderId="0"/>
    <xf numFmtId="0" fontId="3" fillId="0" borderId="0"/>
    <xf numFmtId="9" fontId="3" fillId="0" borderId="0" applyFon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/>
    <xf numFmtId="0" fontId="5" fillId="0" borderId="0" xfId="0" applyFont="1"/>
    <xf numFmtId="0" fontId="7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14" fontId="0" fillId="0" borderId="0" xfId="0" applyNumberFormat="1"/>
    <xf numFmtId="2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0" fillId="0" borderId="0" xfId="0" applyNumberFormat="1"/>
    <xf numFmtId="0" fontId="13" fillId="0" borderId="0" xfId="0" applyFont="1" applyAlignment="1">
      <alignment horizontal="centerContinuous"/>
    </xf>
    <xf numFmtId="166" fontId="6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0" fontId="14" fillId="0" borderId="0" xfId="0" applyFont="1"/>
    <xf numFmtId="0" fontId="15" fillId="2" borderId="0" xfId="0" applyFont="1" applyFill="1" applyAlignment="1">
      <alignment horizontal="right"/>
    </xf>
    <xf numFmtId="166" fontId="0" fillId="0" borderId="0" xfId="0" applyNumberFormat="1" applyAlignment="1">
      <alignment horizontal="right"/>
    </xf>
    <xf numFmtId="0" fontId="16" fillId="0" borderId="0" xfId="1" applyFont="1" applyAlignment="1">
      <alignment horizontal="right"/>
    </xf>
    <xf numFmtId="0" fontId="17" fillId="0" borderId="0" xfId="0" applyFont="1"/>
    <xf numFmtId="0" fontId="7" fillId="0" borderId="0" xfId="1" applyFont="1" applyAlignment="1">
      <alignment horizontal="right"/>
    </xf>
    <xf numFmtId="165" fontId="4" fillId="2" borderId="0" xfId="0" applyNumberFormat="1" applyFont="1" applyFill="1" applyAlignment="1">
      <alignment horizontal="right"/>
    </xf>
    <xf numFmtId="0" fontId="18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167" fontId="0" fillId="0" borderId="0" xfId="0" applyNumberFormat="1" applyAlignment="1">
      <alignment horizontal="right"/>
    </xf>
    <xf numFmtId="164" fontId="18" fillId="0" borderId="0" xfId="0" applyNumberFormat="1" applyFont="1" applyAlignment="1">
      <alignment horizontal="right"/>
    </xf>
    <xf numFmtId="167" fontId="6" fillId="0" borderId="0" xfId="0" applyNumberFormat="1" applyFont="1" applyAlignment="1">
      <alignment horizontal="right"/>
    </xf>
    <xf numFmtId="0" fontId="4" fillId="0" borderId="0" xfId="0" applyFont="1"/>
    <xf numFmtId="168" fontId="0" fillId="0" borderId="0" xfId="0" applyNumberFormat="1" applyAlignment="1">
      <alignment horizontal="right"/>
    </xf>
    <xf numFmtId="0" fontId="16" fillId="0" borderId="0" xfId="0" applyFont="1" applyAlignment="1">
      <alignment horizontal="right"/>
    </xf>
    <xf numFmtId="167" fontId="16" fillId="0" borderId="0" xfId="0" applyNumberFormat="1" applyFont="1" applyAlignment="1">
      <alignment horizontal="right"/>
    </xf>
    <xf numFmtId="0" fontId="0" fillId="0" borderId="0" xfId="0" applyAlignment="1">
      <alignment horizontal="left"/>
    </xf>
    <xf numFmtId="169" fontId="0" fillId="0" borderId="0" xfId="0" applyNumberFormat="1" applyAlignment="1">
      <alignment horizontal="right"/>
    </xf>
    <xf numFmtId="2" fontId="0" fillId="0" borderId="0" xfId="0" applyNumberFormat="1"/>
    <xf numFmtId="14" fontId="5" fillId="0" borderId="0" xfId="0" applyNumberFormat="1" applyFo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2" fontId="5" fillId="0" borderId="0" xfId="0" applyNumberFormat="1" applyFont="1"/>
    <xf numFmtId="0" fontId="2" fillId="0" borderId="0" xfId="3"/>
    <xf numFmtId="0" fontId="21" fillId="0" borderId="0" xfId="4" applyFont="1" applyAlignment="1">
      <alignment horizontal="right"/>
    </xf>
    <xf numFmtId="165" fontId="22" fillId="0" borderId="0" xfId="3" applyNumberFormat="1" applyFont="1"/>
    <xf numFmtId="0" fontId="22" fillId="0" borderId="0" xfId="3" applyFont="1"/>
    <xf numFmtId="0" fontId="21" fillId="2" borderId="0" xfId="4" applyFont="1" applyFill="1" applyAlignment="1">
      <alignment horizontal="right"/>
    </xf>
    <xf numFmtId="0" fontId="22" fillId="0" borderId="0" xfId="3" applyFont="1" applyAlignment="1">
      <alignment horizontal="right"/>
    </xf>
    <xf numFmtId="0" fontId="20" fillId="0" borderId="0" xfId="4"/>
    <xf numFmtId="0" fontId="23" fillId="0" borderId="0" xfId="4" applyFont="1"/>
    <xf numFmtId="0" fontId="24" fillId="0" borderId="0" xfId="4" applyFont="1" applyAlignment="1">
      <alignment horizontal="right"/>
    </xf>
    <xf numFmtId="0" fontId="20" fillId="0" borderId="0" xfId="4" applyAlignment="1">
      <alignment horizontal="right"/>
    </xf>
    <xf numFmtId="2" fontId="20" fillId="0" borderId="0" xfId="4" applyNumberFormat="1"/>
    <xf numFmtId="10" fontId="0" fillId="0" borderId="0" xfId="5" applyNumberFormat="1" applyFont="1"/>
    <xf numFmtId="10" fontId="20" fillId="0" borderId="0" xfId="4" applyNumberFormat="1"/>
    <xf numFmtId="0" fontId="25" fillId="0" borderId="0" xfId="4" applyFont="1"/>
    <xf numFmtId="2" fontId="25" fillId="0" borderId="0" xfId="4" applyNumberFormat="1" applyFont="1"/>
    <xf numFmtId="0" fontId="11" fillId="2" borderId="0" xfId="6" applyFont="1" applyFill="1" applyAlignment="1">
      <alignment horizontal="right"/>
    </xf>
    <xf numFmtId="0" fontId="2" fillId="0" borderId="0" xfId="6"/>
    <xf numFmtId="0" fontId="2" fillId="0" borderId="0" xfId="6" applyAlignment="1">
      <alignment horizontal="right"/>
    </xf>
    <xf numFmtId="165" fontId="2" fillId="0" borderId="0" xfId="6" applyNumberFormat="1"/>
    <xf numFmtId="0" fontId="8" fillId="0" borderId="0" xfId="6" applyFont="1"/>
    <xf numFmtId="0" fontId="3" fillId="0" borderId="0" xfId="7"/>
    <xf numFmtId="10" fontId="0" fillId="0" borderId="0" xfId="8" applyNumberFormat="1" applyFont="1"/>
    <xf numFmtId="0" fontId="20" fillId="2" borderId="0" xfId="4" applyFill="1"/>
    <xf numFmtId="0" fontId="25" fillId="2" borderId="0" xfId="7" applyFont="1" applyFill="1"/>
    <xf numFmtId="0" fontId="23" fillId="0" borderId="0" xfId="7" applyFont="1"/>
    <xf numFmtId="165" fontId="22" fillId="0" borderId="0" xfId="6" applyNumberFormat="1" applyFont="1"/>
    <xf numFmtId="0" fontId="22" fillId="0" borderId="0" xfId="6" applyFont="1"/>
    <xf numFmtId="0" fontId="22" fillId="0" borderId="0" xfId="6" applyFont="1" applyAlignment="1">
      <alignment horizontal="right"/>
    </xf>
    <xf numFmtId="0" fontId="27" fillId="0" borderId="0" xfId="4" applyFont="1" applyAlignment="1">
      <alignment horizontal="left" vertical="center" indent="4"/>
    </xf>
    <xf numFmtId="0" fontId="27" fillId="0" borderId="0" xfId="4" applyFont="1" applyAlignment="1">
      <alignment vertical="center"/>
    </xf>
    <xf numFmtId="9" fontId="27" fillId="0" borderId="0" xfId="4" applyNumberFormat="1" applyFont="1" applyAlignment="1">
      <alignment vertical="center"/>
    </xf>
    <xf numFmtId="2" fontId="27" fillId="0" borderId="0" xfId="4" applyNumberFormat="1" applyFont="1" applyAlignment="1">
      <alignment vertical="center"/>
    </xf>
    <xf numFmtId="0" fontId="27" fillId="0" borderId="0" xfId="4" applyFont="1"/>
    <xf numFmtId="9" fontId="27" fillId="0" borderId="0" xfId="4" applyNumberFormat="1" applyFont="1"/>
    <xf numFmtId="0" fontId="23" fillId="2" borderId="0" xfId="4" applyFont="1" applyFill="1"/>
    <xf numFmtId="2" fontId="2" fillId="0" borderId="0" xfId="6" applyNumberFormat="1"/>
    <xf numFmtId="170" fontId="2" fillId="0" borderId="0" xfId="6" applyNumberFormat="1"/>
    <xf numFmtId="165" fontId="25" fillId="0" borderId="0" xfId="4" applyNumberFormat="1" applyFont="1"/>
    <xf numFmtId="165" fontId="20" fillId="0" borderId="0" xfId="4" applyNumberFormat="1"/>
    <xf numFmtId="0" fontId="24" fillId="0" borderId="0" xfId="4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</cellXfs>
  <cellStyles count="9">
    <cellStyle name="Normal" xfId="0" builtinId="0"/>
    <cellStyle name="Normal 2" xfId="1" xr:uid="{1BFCC243-FCE4-4DE0-925B-2E4A4143E18C}"/>
    <cellStyle name="Normal 2 2" xfId="4" xr:uid="{A2E28A3A-04DC-2845-AB1D-8C3CBFBD8EAB}"/>
    <cellStyle name="Normal 2 2 2" xfId="7" xr:uid="{0A2498EB-15BD-8C4B-A48A-FAB7543C3570}"/>
    <cellStyle name="Normal 3" xfId="2" xr:uid="{6325751C-68A0-47DD-98BC-E94DE90A1345}"/>
    <cellStyle name="Normal 3 2" xfId="6" xr:uid="{700F990C-3506-9D4A-8C4E-01D819E42B8F}"/>
    <cellStyle name="Normal 4" xfId="3" xr:uid="{29B0FF7B-6630-4D44-807B-18CCB91EC353}"/>
    <cellStyle name="Per cent 2" xfId="5" xr:uid="{EC7497CE-DFF2-1348-9945-A1A6AF3695F0}"/>
    <cellStyle name="Percent 2 2" xfId="8" xr:uid="{4C2E3B70-61E7-564C-9A7C-FD19F72123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ZA"/>
              <a:t>SA</a:t>
            </a:r>
            <a:r>
              <a:rPr lang="en-ZA" baseline="0"/>
              <a:t> </a:t>
            </a:r>
            <a:r>
              <a:rPr lang="en-ZA"/>
              <a:t>Residential</a:t>
            </a:r>
            <a:r>
              <a:rPr lang="en-ZA" baseline="0"/>
              <a:t> Real Estate Returns</a:t>
            </a:r>
            <a:endParaRPr lang="en-Z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ZA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'Question 21'!$J$1</c:f>
              <c:strCache>
                <c:ptCount val="1"/>
                <c:pt idx="0">
                  <c:v>Price Return 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'Question 21'!$A$3:$A$26</c:f>
              <c:numCache>
                <c:formatCode>m/d/yy</c:formatCode>
                <c:ptCount val="24"/>
                <c:pt idx="0">
                  <c:v>42005</c:v>
                </c:pt>
                <c:pt idx="1">
                  <c:v>42036</c:v>
                </c:pt>
                <c:pt idx="2">
                  <c:v>42064</c:v>
                </c:pt>
                <c:pt idx="3">
                  <c:v>42095</c:v>
                </c:pt>
                <c:pt idx="4">
                  <c:v>42125</c:v>
                </c:pt>
                <c:pt idx="5">
                  <c:v>42156</c:v>
                </c:pt>
                <c:pt idx="6">
                  <c:v>42186</c:v>
                </c:pt>
                <c:pt idx="7">
                  <c:v>42217</c:v>
                </c:pt>
                <c:pt idx="8">
                  <c:v>42248</c:v>
                </c:pt>
                <c:pt idx="9">
                  <c:v>42278</c:v>
                </c:pt>
                <c:pt idx="10">
                  <c:v>42309</c:v>
                </c:pt>
                <c:pt idx="11">
                  <c:v>42339</c:v>
                </c:pt>
                <c:pt idx="12">
                  <c:v>42370</c:v>
                </c:pt>
                <c:pt idx="13">
                  <c:v>42401</c:v>
                </c:pt>
                <c:pt idx="14">
                  <c:v>42430</c:v>
                </c:pt>
                <c:pt idx="15">
                  <c:v>42461</c:v>
                </c:pt>
                <c:pt idx="16">
                  <c:v>42491</c:v>
                </c:pt>
                <c:pt idx="17">
                  <c:v>42522</c:v>
                </c:pt>
                <c:pt idx="18">
                  <c:v>42552</c:v>
                </c:pt>
                <c:pt idx="19">
                  <c:v>42583</c:v>
                </c:pt>
                <c:pt idx="20">
                  <c:v>42614</c:v>
                </c:pt>
                <c:pt idx="21">
                  <c:v>42644</c:v>
                </c:pt>
                <c:pt idx="22">
                  <c:v>42675</c:v>
                </c:pt>
                <c:pt idx="23">
                  <c:v>42705</c:v>
                </c:pt>
              </c:numCache>
            </c:numRef>
          </c:cat>
          <c:val>
            <c:numRef>
              <c:f>'Question 21'!$J$2:$J$26</c:f>
              <c:numCache>
                <c:formatCode>0.00</c:formatCode>
                <c:ptCount val="25"/>
                <c:pt idx="2">
                  <c:v>4.0609137055837685</c:v>
                </c:pt>
                <c:pt idx="3">
                  <c:v>6.0975609756097393</c:v>
                </c:pt>
                <c:pt idx="4">
                  <c:v>-1.1954022988505675</c:v>
                </c:pt>
                <c:pt idx="5">
                  <c:v>3.0246626337831373</c:v>
                </c:pt>
                <c:pt idx="6">
                  <c:v>-4.9683830171635019</c:v>
                </c:pt>
                <c:pt idx="7">
                  <c:v>-4.1825095057034245</c:v>
                </c:pt>
                <c:pt idx="8">
                  <c:v>-0.79365079365080193</c:v>
                </c:pt>
                <c:pt idx="9">
                  <c:v>2.5000000000000133</c:v>
                </c:pt>
                <c:pt idx="10">
                  <c:v>-3.9024390243902363</c:v>
                </c:pt>
                <c:pt idx="11">
                  <c:v>8.1218274111674926</c:v>
                </c:pt>
                <c:pt idx="12">
                  <c:v>1.4084507042253502</c:v>
                </c:pt>
                <c:pt idx="13">
                  <c:v>-9.259259259259256</c:v>
                </c:pt>
                <c:pt idx="14">
                  <c:v>-3.571428571428592</c:v>
                </c:pt>
                <c:pt idx="15">
                  <c:v>-2.4338624338624215</c:v>
                </c:pt>
                <c:pt idx="16">
                  <c:v>1.4099783080260275</c:v>
                </c:pt>
                <c:pt idx="17">
                  <c:v>5.614973262032108</c:v>
                </c:pt>
                <c:pt idx="18">
                  <c:v>5.0126582278481102</c:v>
                </c:pt>
                <c:pt idx="19">
                  <c:v>9.643201542910429E-2</c:v>
                </c:pt>
                <c:pt idx="20">
                  <c:v>2.1194605009633882</c:v>
                </c:pt>
                <c:pt idx="21">
                  <c:v>1.1792452830188704</c:v>
                </c:pt>
                <c:pt idx="22">
                  <c:v>3.9627039627039728</c:v>
                </c:pt>
                <c:pt idx="23">
                  <c:v>4.1704035874439382</c:v>
                </c:pt>
                <c:pt idx="24">
                  <c:v>-3.7021093413689199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FA-4814-93DA-8E012C97681E}"/>
            </c:ext>
          </c:extLst>
        </c:ser>
        <c:ser>
          <c:idx val="1"/>
          <c:order val="1"/>
          <c:tx>
            <c:strRef>
              <c:f>'Question 21'!$R$1</c:f>
              <c:strCache>
                <c:ptCount val="1"/>
                <c:pt idx="0">
                  <c:v>Price Return 1 (Value-Weighted)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'Question 21'!$A$3:$A$26</c:f>
              <c:numCache>
                <c:formatCode>m/d/yy</c:formatCode>
                <c:ptCount val="24"/>
                <c:pt idx="0">
                  <c:v>42005</c:v>
                </c:pt>
                <c:pt idx="1">
                  <c:v>42036</c:v>
                </c:pt>
                <c:pt idx="2">
                  <c:v>42064</c:v>
                </c:pt>
                <c:pt idx="3">
                  <c:v>42095</c:v>
                </c:pt>
                <c:pt idx="4">
                  <c:v>42125</c:v>
                </c:pt>
                <c:pt idx="5">
                  <c:v>42156</c:v>
                </c:pt>
                <c:pt idx="6">
                  <c:v>42186</c:v>
                </c:pt>
                <c:pt idx="7">
                  <c:v>42217</c:v>
                </c:pt>
                <c:pt idx="8">
                  <c:v>42248</c:v>
                </c:pt>
                <c:pt idx="9">
                  <c:v>42278</c:v>
                </c:pt>
                <c:pt idx="10">
                  <c:v>42309</c:v>
                </c:pt>
                <c:pt idx="11">
                  <c:v>42339</c:v>
                </c:pt>
                <c:pt idx="12">
                  <c:v>42370</c:v>
                </c:pt>
                <c:pt idx="13">
                  <c:v>42401</c:v>
                </c:pt>
                <c:pt idx="14">
                  <c:v>42430</c:v>
                </c:pt>
                <c:pt idx="15">
                  <c:v>42461</c:v>
                </c:pt>
                <c:pt idx="16">
                  <c:v>42491</c:v>
                </c:pt>
                <c:pt idx="17">
                  <c:v>42522</c:v>
                </c:pt>
                <c:pt idx="18">
                  <c:v>42552</c:v>
                </c:pt>
                <c:pt idx="19">
                  <c:v>42583</c:v>
                </c:pt>
                <c:pt idx="20">
                  <c:v>42614</c:v>
                </c:pt>
                <c:pt idx="21">
                  <c:v>42644</c:v>
                </c:pt>
                <c:pt idx="22">
                  <c:v>42675</c:v>
                </c:pt>
                <c:pt idx="23">
                  <c:v>42705</c:v>
                </c:pt>
              </c:numCache>
            </c:numRef>
          </c:cat>
          <c:val>
            <c:numRef>
              <c:f>'Question 21'!$R$2:$R$26</c:f>
              <c:numCache>
                <c:formatCode>General</c:formatCode>
                <c:ptCount val="25"/>
                <c:pt idx="2" formatCode="0.00">
                  <c:v>5.3505866665701118</c:v>
                </c:pt>
                <c:pt idx="3" formatCode="0.00">
                  <c:v>51.586056205398357</c:v>
                </c:pt>
                <c:pt idx="4" formatCode="0.00">
                  <c:v>-1.0497741898495172</c:v>
                </c:pt>
                <c:pt idx="5" formatCode="0.00">
                  <c:v>3.4464233014197765</c:v>
                </c:pt>
                <c:pt idx="6" formatCode="0.00">
                  <c:v>-5.0657375469257087</c:v>
                </c:pt>
                <c:pt idx="7" formatCode="0.00">
                  <c:v>-5.326305255669828</c:v>
                </c:pt>
                <c:pt idx="8" formatCode="0.00">
                  <c:v>-0.77800709944084723</c:v>
                </c:pt>
                <c:pt idx="9" formatCode="0.00">
                  <c:v>2.1606291528466048</c:v>
                </c:pt>
                <c:pt idx="10" formatCode="0.00">
                  <c:v>-3.5459388115588686</c:v>
                </c:pt>
                <c:pt idx="11" formatCode="0.00">
                  <c:v>7.1509927903377069</c:v>
                </c:pt>
                <c:pt idx="12" formatCode="0.00">
                  <c:v>-2.0961534635899004</c:v>
                </c:pt>
                <c:pt idx="13" formatCode="0.00">
                  <c:v>-8.6809482080576377</c:v>
                </c:pt>
                <c:pt idx="14" formatCode="0.00">
                  <c:v>-4.1163331635469591</c:v>
                </c:pt>
                <c:pt idx="15" formatCode="0.00">
                  <c:v>26.857686645403334</c:v>
                </c:pt>
                <c:pt idx="16" formatCode="0.00">
                  <c:v>1.2836515275257865</c:v>
                </c:pt>
                <c:pt idx="17" formatCode="0.00">
                  <c:v>5.1494241398410967</c:v>
                </c:pt>
                <c:pt idx="18" formatCode="0.00">
                  <c:v>5.5966295052899184</c:v>
                </c:pt>
                <c:pt idx="19" formatCode="0.00">
                  <c:v>-2.5911912679419613</c:v>
                </c:pt>
                <c:pt idx="20" formatCode="0.00">
                  <c:v>2.3142250357983007</c:v>
                </c:pt>
                <c:pt idx="21" formatCode="0.00">
                  <c:v>0.89013975030258763</c:v>
                </c:pt>
                <c:pt idx="22" formatCode="0.00">
                  <c:v>6.6266157525545211</c:v>
                </c:pt>
                <c:pt idx="23" formatCode="0.00">
                  <c:v>3.0441143641335211</c:v>
                </c:pt>
                <c:pt idx="24" formatCode="0.00">
                  <c:v>-2.6633237839918222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FA-4814-93DA-8E012C9768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6121608"/>
        <c:axId val="986121968"/>
      </c:lineChart>
      <c:dateAx>
        <c:axId val="986121608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86121968"/>
        <c:crosses val="autoZero"/>
        <c:auto val="1"/>
        <c:lblOffset val="100"/>
        <c:baseTimeUnit val="months"/>
      </c:dateAx>
      <c:valAx>
        <c:axId val="986121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86121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ZA"/>
              <a:t>SA Residential Real Estate Return Indexes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'Question 21'!$I$1</c:f>
              <c:strCache>
                <c:ptCount val="1"/>
                <c:pt idx="0">
                  <c:v>Price Weighted Index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'Question 21'!$I$2:$I$26</c:f>
              <c:numCache>
                <c:formatCode>0.00</c:formatCode>
                <c:ptCount val="25"/>
                <c:pt idx="1">
                  <c:v>100</c:v>
                </c:pt>
                <c:pt idx="2">
                  <c:v>104.06091370558377</c:v>
                </c:pt>
                <c:pt idx="3">
                  <c:v>110.40609137055839</c:v>
                </c:pt>
                <c:pt idx="4">
                  <c:v>109.08629441624367</c:v>
                </c:pt>
                <c:pt idx="5">
                  <c:v>112.38578680203047</c:v>
                </c:pt>
                <c:pt idx="6">
                  <c:v>106.8020304568528</c:v>
                </c:pt>
                <c:pt idx="7">
                  <c:v>102.33502538071068</c:v>
                </c:pt>
                <c:pt idx="8">
                  <c:v>101.52284263959392</c:v>
                </c:pt>
                <c:pt idx="9">
                  <c:v>104.06091370558377</c:v>
                </c:pt>
                <c:pt idx="10">
                  <c:v>100.00000000000003</c:v>
                </c:pt>
                <c:pt idx="11">
                  <c:v>108.12182741116752</c:v>
                </c:pt>
                <c:pt idx="12">
                  <c:v>109.64467005076143</c:v>
                </c:pt>
                <c:pt idx="13">
                  <c:v>99.492385786802046</c:v>
                </c:pt>
                <c:pt idx="14">
                  <c:v>95.939086294416242</c:v>
                </c:pt>
                <c:pt idx="15">
                  <c:v>93.604060913705595</c:v>
                </c:pt>
                <c:pt idx="16">
                  <c:v>94.923857868020306</c:v>
                </c:pt>
                <c:pt idx="17">
                  <c:v>100.253807106599</c:v>
                </c:pt>
                <c:pt idx="18">
                  <c:v>105.2791878172589</c:v>
                </c:pt>
                <c:pt idx="19">
                  <c:v>105.38071065989848</c:v>
                </c:pt>
                <c:pt idx="20">
                  <c:v>107.61421319796955</c:v>
                </c:pt>
                <c:pt idx="21">
                  <c:v>108.88324873096447</c:v>
                </c:pt>
                <c:pt idx="22">
                  <c:v>113.19796954314722</c:v>
                </c:pt>
                <c:pt idx="23">
                  <c:v>117.91878172588834</c:v>
                </c:pt>
                <c:pt idx="24">
                  <c:v>113.5532994923858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4F-476D-BBFC-3014F6090D84}"/>
            </c:ext>
          </c:extLst>
        </c:ser>
        <c:ser>
          <c:idx val="1"/>
          <c:order val="1"/>
          <c:tx>
            <c:strRef>
              <c:f>'Question 21'!$Q$1</c:f>
              <c:strCache>
                <c:ptCount val="1"/>
                <c:pt idx="0">
                  <c:v>Value-weighted index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'Question 21'!$Q$2:$Q$26</c:f>
              <c:numCache>
                <c:formatCode>0.00</c:formatCode>
                <c:ptCount val="25"/>
                <c:pt idx="1">
                  <c:v>100</c:v>
                </c:pt>
                <c:pt idx="2">
                  <c:v>105.35058666657011</c:v>
                </c:pt>
                <c:pt idx="3">
                  <c:v>159.69679951710387</c:v>
                </c:pt>
                <c:pt idx="4">
                  <c:v>158.02034373375758</c:v>
                </c:pt>
                <c:pt idx="5">
                  <c:v>163.46639368118144</c:v>
                </c:pt>
                <c:pt idx="6">
                  <c:v>155.18561519986844</c:v>
                </c:pt>
                <c:pt idx="7">
                  <c:v>146.9199556214343</c:v>
                </c:pt>
                <c:pt idx="8">
                  <c:v>145.7769079362042</c:v>
                </c:pt>
                <c:pt idx="9">
                  <c:v>148.92660630719217</c:v>
                </c:pt>
                <c:pt idx="10">
                  <c:v>143.64575997340796</c:v>
                </c:pt>
                <c:pt idx="11">
                  <c:v>153.91785791273219</c:v>
                </c:pt>
                <c:pt idx="12">
                  <c:v>150.69150340301107</c:v>
                </c:pt>
                <c:pt idx="13">
                  <c:v>137.61005203865227</c:v>
                </c:pt>
                <c:pt idx="14">
                  <c:v>131.945563830211</c:v>
                </c:pt>
                <c:pt idx="15">
                  <c:v>167.38308990623972</c:v>
                </c:pt>
                <c:pt idx="16">
                  <c:v>169.53170549664102</c:v>
                </c:pt>
                <c:pt idx="17">
                  <c:v>178.26161206416938</c:v>
                </c:pt>
                <c:pt idx="18">
                  <c:v>188.23825404155812</c:v>
                </c:pt>
                <c:pt idx="19">
                  <c:v>183.36064083990686</c:v>
                </c:pt>
                <c:pt idx="20">
                  <c:v>187.60401869602418</c:v>
                </c:pt>
                <c:pt idx="21">
                  <c:v>189.27395663960257</c:v>
                </c:pt>
                <c:pt idx="22">
                  <c:v>201.81641446576569</c:v>
                </c:pt>
                <c:pt idx="23">
                  <c:v>207.9599369276973</c:v>
                </c:pt>
                <c:pt idx="24">
                  <c:v>202.42129046632755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4F-476D-BBFC-3014F6090D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6919480"/>
        <c:axId val="986919840"/>
      </c:lineChart>
      <c:catAx>
        <c:axId val="98691948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86919840"/>
        <c:crosses val="autoZero"/>
        <c:auto val="1"/>
        <c:lblAlgn val="ctr"/>
        <c:lblOffset val="100"/>
        <c:noMultiLvlLbl val="0"/>
      </c:catAx>
      <c:valAx>
        <c:axId val="986919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86919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1016000</xdr:colOff>
      <xdr:row>7</xdr:row>
      <xdr:rowOff>63500</xdr:rowOff>
    </xdr:from>
    <xdr:ext cx="2203488" cy="3881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0000000-0008-0000-0400-000002000000}"/>
                </a:ext>
              </a:extLst>
            </xdr:cNvPr>
            <xdr:cNvSpPr txBox="1"/>
          </xdr:nvSpPr>
          <xdr:spPr>
            <a:xfrm>
              <a:off x="5638800" y="1422400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𝑱𝒂𝒓𝒒𝒖𝒆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𝑩𝒆𝒓𝒂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𝒏</m:t>
                    </m:r>
                    <m:d>
                      <m:dPr>
                        <m:ctrlP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𝑺</m:t>
                                </m:r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𝟔</m:t>
                            </m:r>
                          </m:den>
                        </m:f>
                        <m: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𝑲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−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𝟑</m:t>
                                    </m:r>
                                  </m:e>
                                </m:d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𝟐𝟒</m:t>
                            </m:r>
                          </m:den>
                        </m:f>
                      </m:e>
                    </m:d>
                  </m:oMath>
                </m:oMathPara>
              </a14:m>
              <a:endParaRPr lang="en-ZA" sz="1100" b="1" i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3BBCAA7B-6FA5-2047-89B1-A993BCD91916}"/>
                </a:ext>
              </a:extLst>
            </xdr:cNvPr>
            <xdr:cNvSpPr txBox="1"/>
          </xdr:nvSpPr>
          <xdr:spPr>
            <a:xfrm>
              <a:off x="5638800" y="1422400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𝑱𝒂𝒓𝒒𝒖𝒆 𝑩𝒆𝒓𝒂=𝒏(𝑺^𝟐/𝟔+(𝑲−𝟑)^𝟐/𝟐𝟒)</a:t>
              </a:r>
              <a:endParaRPr lang="en-ZA" sz="1100" b="1" i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1016000</xdr:colOff>
      <xdr:row>7</xdr:row>
      <xdr:rowOff>63500</xdr:rowOff>
    </xdr:from>
    <xdr:ext cx="2203488" cy="3881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0000000-0008-0000-0500-000002000000}"/>
                </a:ext>
              </a:extLst>
            </xdr:cNvPr>
            <xdr:cNvSpPr txBox="1"/>
          </xdr:nvSpPr>
          <xdr:spPr>
            <a:xfrm>
              <a:off x="5638800" y="1422400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𝑱𝒂𝒓𝒒𝒖𝒆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𝑩𝒆𝒓𝒂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𝒏</m:t>
                    </m:r>
                    <m:d>
                      <m:dPr>
                        <m:ctrlP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𝑺</m:t>
                                </m:r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𝟔</m:t>
                            </m:r>
                          </m:den>
                        </m:f>
                        <m: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𝑲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−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𝟑</m:t>
                                    </m:r>
                                  </m:e>
                                </m:d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𝟐𝟒</m:t>
                            </m:r>
                          </m:den>
                        </m:f>
                      </m:e>
                    </m:d>
                  </m:oMath>
                </m:oMathPara>
              </a14:m>
              <a:endParaRPr lang="en-ZA" sz="1100" b="1" i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C9C7AB16-0205-0347-BEC0-467AF891831B}"/>
                </a:ext>
              </a:extLst>
            </xdr:cNvPr>
            <xdr:cNvSpPr txBox="1"/>
          </xdr:nvSpPr>
          <xdr:spPr>
            <a:xfrm>
              <a:off x="5638800" y="1422400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𝑱𝒂𝒓𝒒𝒖𝒆 𝑩𝒆𝒓𝒂=𝒏(𝑺^𝟐/𝟔+(𝑲−𝟑)^𝟐/𝟐𝟒)</a:t>
              </a:r>
              <a:endParaRPr lang="en-ZA" sz="1100" b="1" i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295275</xdr:colOff>
      <xdr:row>2</xdr:row>
      <xdr:rowOff>66675</xdr:rowOff>
    </xdr:from>
    <xdr:ext cx="1468094" cy="38619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0000000-0008-0000-0600-000002000000}"/>
                </a:ext>
              </a:extLst>
            </xdr:cNvPr>
            <xdr:cNvSpPr txBox="1"/>
          </xdr:nvSpPr>
          <xdr:spPr>
            <a:xfrm>
              <a:off x="3127375" y="447675"/>
              <a:ext cx="1468094" cy="3861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0" i="1">
                        <a:latin typeface="Cambria Math" panose="02040503050406030204" pitchFamily="18" charset="0"/>
                      </a:rPr>
                      <m:t>𝐶𝐴𝐺𝑅</m:t>
                    </m:r>
                    <m:r>
                      <a:rPr lang="en-ZA" sz="1100" b="0" i="1">
                        <a:latin typeface="Cambria Math" panose="02040503050406030204" pitchFamily="18" charset="0"/>
                      </a:rPr>
                      <m:t>= </m:t>
                    </m:r>
                    <m:sSup>
                      <m:sSupPr>
                        <m:ctrlPr>
                          <a:rPr lang="en-ZA" sz="1100" b="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d>
                          <m:dPr>
                            <m:ctrlPr>
                              <a:rPr lang="en-ZA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f>
                              <m:fPr>
                                <m:ctrlPr>
                                  <a:rPr lang="en-ZA" sz="1100" b="0" i="1">
                                    <a:latin typeface="Cambria Math" panose="02040503050406030204" pitchFamily="18" charset="0"/>
                                  </a:rPr>
                                </m:ctrlPr>
                              </m:fPr>
                              <m:num>
                                <m:r>
                                  <a:rPr lang="en-ZA" sz="1100" b="0" i="1">
                                    <a:latin typeface="Cambria Math" panose="02040503050406030204" pitchFamily="18" charset="0"/>
                                  </a:rPr>
                                  <m:t>𝐸𝑀𝑉</m:t>
                                </m:r>
                              </m:num>
                              <m:den>
                                <m:r>
                                  <a:rPr lang="en-ZA" sz="1100" b="0" i="1">
                                    <a:latin typeface="Cambria Math" panose="02040503050406030204" pitchFamily="18" charset="0"/>
                                  </a:rPr>
                                  <m:t>𝐵𝑀𝑉</m:t>
                                </m:r>
                              </m:den>
                            </m:f>
                          </m:e>
                        </m:d>
                      </m:e>
                      <m:sup>
                        <m:f>
                          <m:fPr>
                            <m:type m:val="skw"/>
                            <m:ctrlPr>
                              <a:rPr lang="en-ZA" sz="1100" b="0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en-ZA" sz="1100" b="0" i="1">
                                <a:latin typeface="Cambria Math" panose="02040503050406030204" pitchFamily="18" charset="0"/>
                              </a:rPr>
                              <m:t>1</m:t>
                            </m:r>
                          </m:num>
                          <m:den>
                            <m:r>
                              <a:rPr lang="en-ZA" sz="1100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</m:den>
                        </m:f>
                      </m:sup>
                    </m:sSup>
                    <m:r>
                      <a:rPr lang="en-ZA" sz="1100" b="0" i="1">
                        <a:latin typeface="Cambria Math" panose="02040503050406030204" pitchFamily="18" charset="0"/>
                      </a:rPr>
                      <m:t>−1</m:t>
                    </m:r>
                  </m:oMath>
                </m:oMathPara>
              </a14:m>
              <a:endParaRPr lang="en-ZA" sz="11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E0C681DB-C4CC-4847-9A24-DD55995D869D}"/>
                </a:ext>
              </a:extLst>
            </xdr:cNvPr>
            <xdr:cNvSpPr txBox="1"/>
          </xdr:nvSpPr>
          <xdr:spPr>
            <a:xfrm>
              <a:off x="3127375" y="447675"/>
              <a:ext cx="1468094" cy="3861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ZA" sz="1100" b="0" i="0">
                  <a:latin typeface="Cambria Math" panose="02040503050406030204" pitchFamily="18" charset="0"/>
                </a:rPr>
                <a:t>𝐶𝐴𝐺𝑅= (𝐸𝑀𝑉/𝐵𝑀𝑉)^(1⁄𝑛)−1</a:t>
              </a:r>
              <a:endParaRPr lang="en-ZA" sz="1100"/>
            </a:p>
          </xdr:txBody>
        </xdr:sp>
      </mc:Fallback>
    </mc:AlternateContent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339724</xdr:colOff>
      <xdr:row>18</xdr:row>
      <xdr:rowOff>110490</xdr:rowOff>
    </xdr:from>
    <xdr:to>
      <xdr:col>28</xdr:col>
      <xdr:colOff>76199</xdr:colOff>
      <xdr:row>33</xdr:row>
      <xdr:rowOff>107950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333374</xdr:colOff>
      <xdr:row>0</xdr:row>
      <xdr:rowOff>394970</xdr:rowOff>
    </xdr:from>
    <xdr:to>
      <xdr:col>27</xdr:col>
      <xdr:colOff>504189</xdr:colOff>
      <xdr:row>15</xdr:row>
      <xdr:rowOff>68580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17168</xdr:colOff>
      <xdr:row>73</xdr:row>
      <xdr:rowOff>11705</xdr:rowOff>
    </xdr:from>
    <xdr:ext cx="1792607" cy="38036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0000000-0008-0000-0D00-000002000000}"/>
                </a:ext>
              </a:extLst>
            </xdr:cNvPr>
            <xdr:cNvSpPr txBox="1"/>
          </xdr:nvSpPr>
          <xdr:spPr>
            <a:xfrm>
              <a:off x="9260228" y="13579115"/>
              <a:ext cx="1792607" cy="38036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nor/>
                      </m:rPr>
                      <a:rPr lang="en-US" sz="1100" b="1" i="1">
                        <a:solidFill>
                          <a:srgbClr val="FF0000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Jarque</m:t>
                    </m:r>
                    <m:r>
                      <m:rPr>
                        <m:nor/>
                      </m:rPr>
                      <a:rPr lang="en-US" sz="1100" b="1" i="1">
                        <a:solidFill>
                          <a:srgbClr val="FF0000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 </m:t>
                    </m:r>
                    <m:r>
                      <m:rPr>
                        <m:nor/>
                      </m:rPr>
                      <a:rPr lang="en-US" sz="1100" b="1" i="1">
                        <a:solidFill>
                          <a:srgbClr val="FF0000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Bera</m:t>
                    </m:r>
                    <m:r>
                      <m:rPr>
                        <m:nor/>
                      </m:rPr>
                      <a:rPr lang="en-ZA" sz="1100" b="1" i="1">
                        <a:solidFill>
                          <a:srgbClr val="FF0000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 </m:t>
                    </m:r>
                    <m:r>
                      <m:rPr>
                        <m:nor/>
                      </m:rPr>
                      <a:rPr lang="en-US" sz="1100" b="1" i="1">
                        <a:solidFill>
                          <a:srgbClr val="FF0000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=</m:t>
                    </m:r>
                    <m:r>
                      <m:rPr>
                        <m:nor/>
                      </m:rPr>
                      <a:rPr lang="en-ZA" sz="1100" b="1" i="1">
                        <a:solidFill>
                          <a:srgbClr val="FF0000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 </m:t>
                    </m:r>
                    <m:r>
                      <m:rPr>
                        <m:nor/>
                      </m:rPr>
                      <a:rPr lang="en-US" sz="1100" b="1" i="1">
                        <a:solidFill>
                          <a:srgbClr val="FF0000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n</m:t>
                    </m:r>
                    <m:d>
                      <m:dPr>
                        <m:ctrlP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m:rPr>
                                    <m:nor/>
                                  </m:r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  <m:t>S</m:t>
                                </m:r>
                              </m:e>
                              <m:sup>
                                <m:r>
                                  <m:rPr>
                                    <m:nor/>
                                  </m:r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  <m:t>2</m:t>
                                </m:r>
                              </m:sup>
                            </m:sSup>
                          </m:num>
                          <m:den>
                            <m:r>
                              <m:rPr>
                                <m:nor/>
                              </m:r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+mn-lt"/>
                                <a:ea typeface="+mn-ea"/>
                                <a:cs typeface="+mn-cs"/>
                              </a:rPr>
                              <m:t>6</m:t>
                            </m:r>
                          </m:den>
                        </m:f>
                        <m:r>
                          <m:rPr>
                            <m:nor/>
                          </m:rP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+</m:t>
                        </m:r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r>
                                      <m:rPr>
                                        <m:nor/>
                                      </m:rP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+mn-lt"/>
                                        <a:ea typeface="+mn-ea"/>
                                        <a:cs typeface="+mn-cs"/>
                                      </a:rPr>
                                      <m:t>K</m:t>
                                    </m:r>
                                    <m:r>
                                      <m:rPr>
                                        <m:nor/>
                                      </m:rP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+mn-lt"/>
                                        <a:ea typeface="+mn-ea"/>
                                        <a:cs typeface="+mn-cs"/>
                                      </a:rPr>
                                      <m:t>−3</m:t>
                                    </m:r>
                                  </m:e>
                                </m:d>
                              </m:e>
                              <m:sup>
                                <m:r>
                                  <m:rPr>
                                    <m:nor/>
                                  </m:r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  <m:t>2</m:t>
                                </m:r>
                              </m:sup>
                            </m:sSup>
                          </m:num>
                          <m:den>
                            <m:r>
                              <m:rPr>
                                <m:nor/>
                              </m:r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+mn-lt"/>
                                <a:ea typeface="+mn-ea"/>
                                <a:cs typeface="+mn-cs"/>
                              </a:rPr>
                              <m:t>24</m:t>
                            </m:r>
                          </m:den>
                        </m:f>
                      </m:e>
                    </m:d>
                  </m:oMath>
                </m:oMathPara>
              </a14:m>
              <a:endParaRPr lang="en-ZA" sz="1100" b="1" i="1">
                <a:solidFill>
                  <a:srgbClr val="FF0000"/>
                </a:solidFill>
                <a:latin typeface="+mn-lt"/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7A4F73CE-A7F9-4B70-97E6-69B4ECD80B11}"/>
                </a:ext>
              </a:extLst>
            </xdr:cNvPr>
            <xdr:cNvSpPr txBox="1"/>
          </xdr:nvSpPr>
          <xdr:spPr>
            <a:xfrm>
              <a:off x="9260228" y="13579115"/>
              <a:ext cx="1792607" cy="38036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"Jarque Bera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=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n" (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+mn-lt"/>
                  <a:ea typeface="+mn-ea"/>
                  <a:cs typeface="+mn-cs"/>
                </a:rPr>
                <a:t>"S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^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+mn-lt"/>
                  <a:ea typeface="+mn-ea"/>
                  <a:cs typeface="+mn-cs"/>
                </a:rPr>
                <a:t>"2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/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+mn-lt"/>
                  <a:ea typeface="+mn-ea"/>
                  <a:cs typeface="+mn-cs"/>
                </a:rPr>
                <a:t>"6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+mn-lt"/>
                  <a:ea typeface="+mn-ea"/>
                  <a:cs typeface="+mn-cs"/>
                </a:rPr>
                <a:t> "+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 (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+mn-lt"/>
                  <a:ea typeface="+mn-ea"/>
                  <a:cs typeface="+mn-cs"/>
                </a:rPr>
                <a:t>"K−3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)^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+mn-lt"/>
                  <a:ea typeface="+mn-ea"/>
                  <a:cs typeface="+mn-cs"/>
                </a:rPr>
                <a:t>"2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/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+mn-lt"/>
                  <a:ea typeface="+mn-ea"/>
                  <a:cs typeface="+mn-cs"/>
                </a:rPr>
                <a:t>"24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)</a:t>
              </a:r>
              <a:endParaRPr lang="en-ZA" sz="1100" b="1" i="1">
                <a:solidFill>
                  <a:srgbClr val="FF0000"/>
                </a:solidFill>
                <a:latin typeface="+mn-lt"/>
              </a:endParaRPr>
            </a:p>
          </xdr:txBody>
        </xdr:sp>
      </mc:Fallback>
    </mc:AlternateContent>
    <xdr:clientData/>
  </xdr:oneCellAnchor>
  <xdr:oneCellAnchor>
    <xdr:from>
      <xdr:col>8</xdr:col>
      <xdr:colOff>27653</xdr:colOff>
      <xdr:row>59</xdr:row>
      <xdr:rowOff>86067</xdr:rowOff>
    </xdr:from>
    <xdr:ext cx="2142959" cy="36958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00000000-0008-0000-0D00-000003000000}"/>
                </a:ext>
              </a:extLst>
            </xdr:cNvPr>
            <xdr:cNvSpPr txBox="1"/>
          </xdr:nvSpPr>
          <xdr:spPr>
            <a:xfrm>
              <a:off x="9274523" y="11025847"/>
              <a:ext cx="2142959" cy="3695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1" i="1">
                  <a:solidFill>
                    <a:srgbClr val="FF0000"/>
                  </a:solidFill>
                  <a:latin typeface="+mj-lt"/>
                </a:rPr>
                <a:t>Population</a:t>
              </a:r>
              <a14:m>
                <m:oMath xmlns:m="http://schemas.openxmlformats.org/officeDocument/2006/math">
                  <m:r>
                    <m:rPr>
                      <m:nor/>
                    </m:rPr>
                    <a:rPr lang="en-US" sz="1100" b="1" i="1">
                      <a:solidFill>
                        <a:srgbClr val="FF0000"/>
                      </a:solidFill>
                      <a:latin typeface="+mj-lt"/>
                    </a:rPr>
                    <m:t> </m:t>
                  </m:r>
                  <m:r>
                    <m:rPr>
                      <m:nor/>
                    </m:rPr>
                    <a:rPr lang="en-ZA" sz="1100" b="1" i="1">
                      <a:solidFill>
                        <a:srgbClr val="FF0000"/>
                      </a:solidFill>
                      <a:latin typeface="+mj-lt"/>
                    </a:rPr>
                    <m:t>Skewness</m:t>
                  </m:r>
                  <m:r>
                    <m:rPr>
                      <m:nor/>
                    </m:rPr>
                    <a:rPr lang="en-ZA" sz="1100" b="1" i="1">
                      <a:solidFill>
                        <a:srgbClr val="FF0000"/>
                      </a:solidFill>
                      <a:latin typeface="+mj-lt"/>
                    </a:rPr>
                    <m:t> = </m:t>
                  </m:r>
                  <m:f>
                    <m:fPr>
                      <m:ctrl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m:rPr>
                          <m:nor/>
                        </m:rPr>
                        <a:rPr lang="en-US" sz="1100" b="1" i="1">
                          <a:solidFill>
                            <a:srgbClr val="FF0000"/>
                          </a:solidFill>
                          <a:latin typeface="+mj-lt"/>
                        </a:rPr>
                        <m:t>1</m:t>
                      </m:r>
                    </m:num>
                    <m:den>
                      <m:r>
                        <m:rPr>
                          <m:nor/>
                        </m:rPr>
                        <a:rPr lang="en-US" sz="1100" b="1" i="1">
                          <a:solidFill>
                            <a:srgbClr val="FF0000"/>
                          </a:solidFill>
                          <a:latin typeface="+mj-lt"/>
                        </a:rPr>
                        <m:t>N</m:t>
                      </m:r>
                    </m:den>
                  </m:f>
                  <m:nary>
                    <m:naryPr>
                      <m:chr m:val="∑"/>
                      <m:ctrl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</m:ctrlPr>
                    </m:naryPr>
                    <m:sub>
                      <m:r>
                        <m:rPr>
                          <m:nor/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latin typeface="+mj-lt"/>
                        </a:rPr>
                        <m:t>i</m:t>
                      </m:r>
                      <m:r>
                        <m:rPr>
                          <m:nor/>
                        </m:rPr>
                        <a:rPr lang="en-ZA" sz="1100" b="1" i="1">
                          <a:solidFill>
                            <a:srgbClr val="FF0000"/>
                          </a:solidFill>
                          <a:latin typeface="+mj-lt"/>
                        </a:rPr>
                        <m:t>=</m:t>
                      </m:r>
                      <m:r>
                        <m:rPr>
                          <m:nor/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latin typeface="+mj-lt"/>
                        </a:rPr>
                        <m:t>1</m:t>
                      </m:r>
                    </m:sub>
                    <m:sup>
                      <m:r>
                        <m:rPr>
                          <m:nor/>
                        </m:rPr>
                        <a:rPr lang="en-ZA" sz="1100" b="1" i="1">
                          <a:solidFill>
                            <a:srgbClr val="FF0000"/>
                          </a:solidFill>
                          <a:latin typeface="+mj-lt"/>
                        </a:rPr>
                        <m:t>n</m:t>
                      </m:r>
                    </m:sup>
                    <m:e>
                      <m:sSup>
                        <m:sSupPr>
                          <m:ctrlPr>
                            <a:rPr lang="en-ZA" sz="1100" b="1" i="1">
                              <a:solidFill>
                                <a:srgbClr val="FF0000"/>
                              </a:solidFill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d>
                            <m:dPr>
                              <m:ctrlPr>
                                <a:rPr lang="en-ZA" sz="1100" b="1" i="1">
                                  <a:solidFill>
                                    <a:srgbClr val="FF0000"/>
                                  </a:solidFill>
                                  <a:latin typeface="Cambria Math" panose="02040503050406030204" pitchFamily="18" charset="0"/>
                                </a:rPr>
                              </m:ctrlPr>
                            </m:dPr>
                            <m:e>
                              <m:f>
                                <m:fPr>
                                  <m:ctrlP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</a:rPr>
                                  </m:ctrlPr>
                                </m:fPr>
                                <m:num>
                                  <m:sSub>
                                    <m:sSubPr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</m:ctrlPr>
                                    </m:sSubPr>
                                    <m:e>
                                      <m:r>
                                        <m:rPr>
                                          <m:nor/>
                                        </m:r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+mj-lt"/>
                                        </a:rPr>
                                        <m:t>r</m:t>
                                      </m:r>
                                    </m:e>
                                    <m:sub>
                                      <m:r>
                                        <m:rPr>
                                          <m:nor/>
                                        </m:r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+mj-lt"/>
                                        </a:rPr>
                                        <m:t>i</m:t>
                                      </m:r>
                                    </m:sub>
                                  </m:sSub>
                                  <m:r>
                                    <m:rPr>
                                      <m:nor/>
                                    </m:rP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+mj-lt"/>
                                    </a:rPr>
                                    <m:t>−</m:t>
                                  </m:r>
                                  <m:acc>
                                    <m:accPr>
                                      <m:chr m:val="̅"/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</m:ctrlPr>
                                    </m:accPr>
                                    <m:e>
                                      <m:r>
                                        <m:rPr>
                                          <m:nor/>
                                        </m:r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+mj-lt"/>
                                        </a:rPr>
                                        <m:t>r</m:t>
                                      </m:r>
                                    </m:e>
                                  </m:acc>
                                </m:num>
                                <m:den>
                                  <m:r>
                                    <m:rPr>
                                      <m:nor/>
                                    </m:rP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+mj-lt"/>
                                      <a:ea typeface="Cambria Math" panose="02040503050406030204" pitchFamily="18" charset="0"/>
                                    </a:rPr>
                                    <m:t>σ</m:t>
                                  </m:r>
                                </m:den>
                              </m:f>
                            </m:e>
                          </m:d>
                        </m:e>
                        <m:sup>
                          <m:r>
                            <m:rPr>
                              <m:nor/>
                            </m:rPr>
                            <a:rPr lang="en-ZA" sz="1100" b="1" i="1">
                              <a:solidFill>
                                <a:srgbClr val="FF0000"/>
                              </a:solidFill>
                              <a:latin typeface="+mj-lt"/>
                            </a:rPr>
                            <m:t>3</m:t>
                          </m:r>
                        </m:sup>
                      </m:sSup>
                    </m:e>
                  </m:nary>
                </m:oMath>
              </a14:m>
              <a:endParaRPr lang="en-ZA" sz="1100" b="1" i="1">
                <a:solidFill>
                  <a:srgbClr val="FF0000"/>
                </a:solidFill>
                <a:latin typeface="+mj-lt"/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01C51D10-55D7-45C8-A7BE-8B637360B789}"/>
                </a:ext>
              </a:extLst>
            </xdr:cNvPr>
            <xdr:cNvSpPr txBox="1"/>
          </xdr:nvSpPr>
          <xdr:spPr>
            <a:xfrm>
              <a:off x="9274523" y="11025847"/>
              <a:ext cx="2142959" cy="3695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1" i="1">
                  <a:solidFill>
                    <a:srgbClr val="FF0000"/>
                  </a:solidFill>
                  <a:latin typeface="+mj-lt"/>
                </a:rPr>
                <a:t>Population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" 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Skewness = " </a:t>
              </a:r>
              <a:r>
                <a:rPr lang="en-US" sz="1100" b="1" i="0">
                  <a:solidFill>
                    <a:srgbClr val="FF0000"/>
                  </a:solidFill>
                  <a:latin typeface="+mj-lt"/>
                </a:rPr>
                <a:t> "1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" 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/</a:t>
              </a:r>
              <a:r>
                <a:rPr lang="en-US" sz="1100" b="1" i="0">
                  <a:solidFill>
                    <a:srgbClr val="FF0000"/>
                  </a:solidFill>
                  <a:latin typeface="+mj-lt"/>
                </a:rPr>
                <a:t>"N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" 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 ∑_</a:t>
              </a:r>
              <a:r>
                <a:rPr lang="en-ZA" sz="1100" b="1" i="0">
                  <a:solidFill>
                    <a:srgbClr val="FF0000"/>
                  </a:solidFill>
                  <a:latin typeface="+mj-lt"/>
                </a:rPr>
                <a:t>"i=1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" ^</a:t>
              </a:r>
              <a:r>
                <a:rPr lang="en-ZA" sz="1100" b="1" i="0">
                  <a:solidFill>
                    <a:srgbClr val="FF0000"/>
                  </a:solidFill>
                  <a:latin typeface="+mj-lt"/>
                </a:rPr>
                <a:t>"n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" ▒((</a:t>
              </a:r>
              <a:r>
                <a:rPr lang="en-ZA" sz="1100" b="1" i="0">
                  <a:solidFill>
                    <a:srgbClr val="FF0000"/>
                  </a:solidFill>
                  <a:latin typeface="+mj-lt"/>
                </a:rPr>
                <a:t>"r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" _</a:t>
              </a:r>
              <a:r>
                <a:rPr lang="en-ZA" sz="1100" b="1" i="0">
                  <a:solidFill>
                    <a:srgbClr val="FF0000"/>
                  </a:solidFill>
                  <a:latin typeface="+mj-lt"/>
                </a:rPr>
                <a:t>"i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" </a:t>
              </a:r>
              <a:r>
                <a:rPr lang="en-ZA" sz="1100" b="1" i="0">
                  <a:solidFill>
                    <a:srgbClr val="FF0000"/>
                  </a:solidFill>
                  <a:latin typeface="+mj-lt"/>
                </a:rPr>
                <a:t> "−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" </a:t>
              </a:r>
              <a:r>
                <a:rPr lang="en-ZA" sz="1100" b="1" i="0">
                  <a:solidFill>
                    <a:srgbClr val="FF0000"/>
                  </a:solidFill>
                  <a:latin typeface="+mj-lt"/>
                </a:rPr>
                <a:t>"r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"  ̅)/</a:t>
              </a:r>
              <a:r>
                <a:rPr lang="en-ZA" sz="1100" b="1" i="0">
                  <a:solidFill>
                    <a:srgbClr val="FF0000"/>
                  </a:solidFill>
                  <a:latin typeface="+mj-lt"/>
                  <a:ea typeface="Cambria Math" panose="02040503050406030204" pitchFamily="18" charset="0"/>
                </a:rPr>
                <a:t>"σ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" )^</a:t>
              </a:r>
              <a:r>
                <a:rPr lang="en-ZA" sz="1100" b="1" i="0">
                  <a:solidFill>
                    <a:srgbClr val="FF0000"/>
                  </a:solidFill>
                  <a:latin typeface="+mj-lt"/>
                  <a:ea typeface="Cambria Math" panose="02040503050406030204" pitchFamily="18" charset="0"/>
                </a:rPr>
                <a:t>"</a:t>
              </a:r>
              <a:r>
                <a:rPr lang="en-ZA" sz="1100" b="1" i="0">
                  <a:solidFill>
                    <a:srgbClr val="FF0000"/>
                  </a:solidFill>
                  <a:latin typeface="+mj-lt"/>
                </a:rPr>
                <a:t>3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"  </a:t>
              </a:r>
              <a:endParaRPr lang="en-ZA" sz="1100" b="1" i="1">
                <a:solidFill>
                  <a:srgbClr val="FF0000"/>
                </a:solidFill>
                <a:latin typeface="+mj-lt"/>
              </a:endParaRPr>
            </a:p>
          </xdr:txBody>
        </xdr:sp>
      </mc:Fallback>
    </mc:AlternateContent>
    <xdr:clientData/>
  </xdr:oneCellAnchor>
  <xdr:oneCellAnchor>
    <xdr:from>
      <xdr:col>8</xdr:col>
      <xdr:colOff>0</xdr:colOff>
      <xdr:row>65</xdr:row>
      <xdr:rowOff>0</xdr:rowOff>
    </xdr:from>
    <xdr:ext cx="2533650" cy="30174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00000000-0008-0000-0D00-000004000000}"/>
                </a:ext>
              </a:extLst>
            </xdr:cNvPr>
            <xdr:cNvSpPr txBox="1"/>
          </xdr:nvSpPr>
          <xdr:spPr>
            <a:xfrm>
              <a:off x="9245600" y="12065000"/>
              <a:ext cx="2533650" cy="30174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en-ZA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𝑷𝒐𝒑𝒖𝒍𝒂𝒕𝒊𝒐𝒏</m:t>
                  </m:r>
                  <m:r>
                    <a:rPr lang="en-ZA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 </m:t>
                  </m:r>
                  <m:r>
                    <a:rPr lang="en-US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𝑲𝒖𝒓𝒕𝒐𝒔𝒊𝒔</m:t>
                  </m:r>
                  <m:r>
                    <a:rPr lang="en-US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n-GB" sz="1100">
                  <a:solidFill>
                    <a:srgbClr val="FF0000"/>
                  </a:solidFill>
                </a:rPr>
                <a:t> </a:t>
              </a:r>
              <a14:m>
                <m:oMath xmlns:m="http://schemas.openxmlformats.org/officeDocument/2006/math">
                  <m:f>
                    <m:fPr>
                      <m:ctrl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en-US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𝟏</m:t>
                      </m:r>
                    </m:num>
                    <m:den>
                      <m:r>
                        <a:rPr lang="en-US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𝑵</m:t>
                      </m:r>
                    </m:den>
                  </m:f>
                  <m:nary>
                    <m:naryPr>
                      <m:chr m:val="∑"/>
                      <m:ctrl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naryPr>
                    <m:sub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𝒊</m:t>
                      </m:r>
                      <m: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=</m:t>
                      </m:r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𝟏</m:t>
                      </m:r>
                    </m:sub>
                    <m:sup>
                      <m: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𝒏</m:t>
                      </m:r>
                    </m:sup>
                    <m:e>
                      <m:sSup>
                        <m:sSupPr>
                          <m:ctrlPr>
                            <a:rPr lang="en-ZA" sz="1100" b="1" i="1">
                              <a:solidFill>
                                <a:srgbClr val="FF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pPr>
                        <m:e>
                          <m:d>
                            <m:dPr>
                              <m:ctrlPr>
                                <a:rPr lang="en-ZA" sz="1100" b="1" i="1">
                                  <a:solidFill>
                                    <a:srgbClr val="FF0000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</m:ctrlPr>
                            </m:dPr>
                            <m:e>
                              <m:f>
                                <m:fPr>
                                  <m:ctrlP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</m:ctrlPr>
                                </m:fPr>
                                <m:num>
                                  <m:sSub>
                                    <m:sSubPr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</m:ctrlPr>
                                    </m:sSub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𝒓</m:t>
                                      </m:r>
                                    </m:e>
                                    <m:sub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𝒊</m:t>
                                      </m:r>
                                    </m:sub>
                                  </m:sSub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  <m:t>−</m:t>
                                  </m:r>
                                  <m:acc>
                                    <m:accPr>
                                      <m:chr m:val="̅"/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</m:ctrlPr>
                                    </m:acc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𝒓</m:t>
                                      </m:r>
                                    </m:e>
                                  </m:acc>
                                </m:num>
                                <m:den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  <m:t>𝝈</m:t>
                                  </m:r>
                                </m:den>
                              </m:f>
                            </m:e>
                          </m:d>
                        </m:e>
                        <m:sup>
                          <m:r>
                            <a:rPr lang="en-ZA" sz="1100" b="1" i="1">
                              <a:solidFill>
                                <a:srgbClr val="FF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𝟒</m:t>
                          </m:r>
                        </m:sup>
                      </m:sSup>
                    </m:e>
                  </m:nary>
                </m:oMath>
              </a14:m>
              <a:endParaRPr lang="en-GB" sz="1100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B6DB7750-66F4-4010-94C3-AECAA9317C78}"/>
                </a:ext>
              </a:extLst>
            </xdr:cNvPr>
            <xdr:cNvSpPr txBox="1"/>
          </xdr:nvSpPr>
          <xdr:spPr>
            <a:xfrm>
              <a:off x="9245600" y="12065000"/>
              <a:ext cx="2533650" cy="30174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𝑷𝒐𝒑𝒖𝒍𝒂𝒕𝒊𝒐𝒏 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𝑲𝒖𝒓𝒕𝒐𝒔𝒊𝒔=</a:t>
              </a:r>
              <a:r>
                <a:rPr lang="en-GB" sz="1100">
                  <a:solidFill>
                    <a:srgbClr val="FF0000"/>
                  </a:solidFill>
                </a:rPr>
                <a:t> 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𝟏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/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𝑵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∑_(𝒊=𝟏)^𝒏▒((𝒓_𝒊−𝒓 ̅)/𝝈)^𝟒 </a:t>
              </a:r>
              <a:endParaRPr lang="en-GB" sz="1100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77</xdr:row>
          <xdr:rowOff>25400</xdr:rowOff>
        </xdr:from>
        <xdr:to>
          <xdr:col>14</xdr:col>
          <xdr:colOff>50800</xdr:colOff>
          <xdr:row>91</xdr:row>
          <xdr:rowOff>25400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D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5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23EB8-2024-844A-9401-665903350883}">
  <dimension ref="B2:C11"/>
  <sheetViews>
    <sheetView tabSelected="1" workbookViewId="0">
      <selection activeCell="B28" sqref="B28"/>
    </sheetView>
  </sheetViews>
  <sheetFormatPr baseColWidth="10" defaultRowHeight="15" x14ac:dyDescent="0.2"/>
  <sheetData>
    <row r="2" spans="2:3" x14ac:dyDescent="0.2">
      <c r="B2">
        <v>1</v>
      </c>
      <c r="C2" t="s">
        <v>60</v>
      </c>
    </row>
    <row r="3" spans="2:3" x14ac:dyDescent="0.2">
      <c r="B3">
        <v>2</v>
      </c>
      <c r="C3" t="s">
        <v>61</v>
      </c>
    </row>
    <row r="4" spans="2:3" x14ac:dyDescent="0.2">
      <c r="B4">
        <v>3</v>
      </c>
      <c r="C4" t="s">
        <v>61</v>
      </c>
    </row>
    <row r="5" spans="2:3" x14ac:dyDescent="0.2">
      <c r="B5">
        <v>4</v>
      </c>
      <c r="C5" t="s">
        <v>59</v>
      </c>
    </row>
    <row r="6" spans="2:3" x14ac:dyDescent="0.2">
      <c r="B6">
        <v>5</v>
      </c>
      <c r="C6" t="s">
        <v>61</v>
      </c>
    </row>
    <row r="7" spans="2:3" x14ac:dyDescent="0.2">
      <c r="B7">
        <v>6</v>
      </c>
      <c r="C7" t="s">
        <v>61</v>
      </c>
    </row>
    <row r="8" spans="2:3" x14ac:dyDescent="0.2">
      <c r="B8">
        <v>7</v>
      </c>
      <c r="C8" t="s">
        <v>60</v>
      </c>
    </row>
    <row r="9" spans="2:3" x14ac:dyDescent="0.2">
      <c r="B9">
        <v>8</v>
      </c>
      <c r="C9" t="s">
        <v>61</v>
      </c>
    </row>
    <row r="10" spans="2:3" x14ac:dyDescent="0.2">
      <c r="B10">
        <v>9</v>
      </c>
      <c r="C10" t="s">
        <v>60</v>
      </c>
    </row>
    <row r="11" spans="2:3" x14ac:dyDescent="0.2">
      <c r="B11">
        <v>10</v>
      </c>
      <c r="C11" t="s">
        <v>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C565D-808C-E74D-AECD-33A8E447E72F}">
  <dimension ref="B2:C11"/>
  <sheetViews>
    <sheetView workbookViewId="0">
      <selection activeCell="D17" sqref="D17"/>
    </sheetView>
  </sheetViews>
  <sheetFormatPr baseColWidth="10" defaultRowHeight="15" x14ac:dyDescent="0.2"/>
  <sheetData>
    <row r="2" spans="2:3" x14ac:dyDescent="0.2">
      <c r="B2">
        <v>11</v>
      </c>
      <c r="C2" t="s">
        <v>60</v>
      </c>
    </row>
    <row r="3" spans="2:3" x14ac:dyDescent="0.2">
      <c r="B3">
        <v>12</v>
      </c>
      <c r="C3" t="s">
        <v>60</v>
      </c>
    </row>
    <row r="4" spans="2:3" x14ac:dyDescent="0.2">
      <c r="B4">
        <v>13</v>
      </c>
      <c r="C4" t="s">
        <v>60</v>
      </c>
    </row>
    <row r="5" spans="2:3" x14ac:dyDescent="0.2">
      <c r="B5">
        <v>14</v>
      </c>
      <c r="C5" t="s">
        <v>59</v>
      </c>
    </row>
    <row r="6" spans="2:3" x14ac:dyDescent="0.2">
      <c r="B6">
        <v>15</v>
      </c>
      <c r="C6" t="s">
        <v>59</v>
      </c>
    </row>
    <row r="7" spans="2:3" x14ac:dyDescent="0.2">
      <c r="B7">
        <v>16</v>
      </c>
      <c r="C7" t="s">
        <v>59</v>
      </c>
    </row>
    <row r="8" spans="2:3" x14ac:dyDescent="0.2">
      <c r="B8">
        <v>17</v>
      </c>
      <c r="C8" t="s">
        <v>88</v>
      </c>
    </row>
    <row r="9" spans="2:3" x14ac:dyDescent="0.2">
      <c r="B9">
        <v>18</v>
      </c>
      <c r="C9" t="s">
        <v>61</v>
      </c>
    </row>
    <row r="10" spans="2:3" x14ac:dyDescent="0.2">
      <c r="B10">
        <v>19</v>
      </c>
      <c r="C10" t="s">
        <v>60</v>
      </c>
    </row>
    <row r="11" spans="2:3" x14ac:dyDescent="0.2">
      <c r="B11">
        <v>20</v>
      </c>
      <c r="C11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02F1E-C2C3-8C4C-BE72-C039A0D8D380}">
  <dimension ref="B2:D10"/>
  <sheetViews>
    <sheetView workbookViewId="0">
      <selection activeCell="F46" sqref="F46"/>
    </sheetView>
  </sheetViews>
  <sheetFormatPr baseColWidth="10" defaultRowHeight="15" x14ac:dyDescent="0.2"/>
  <cols>
    <col min="1" max="1" width="10.83203125" style="39"/>
    <col min="2" max="2" width="13.6640625" style="39" bestFit="1" customWidth="1"/>
    <col min="3" max="16384" width="10.83203125" style="39"/>
  </cols>
  <sheetData>
    <row r="2" spans="2:4" x14ac:dyDescent="0.2">
      <c r="B2" s="39" t="s">
        <v>50</v>
      </c>
      <c r="D2" s="39">
        <v>0.55000000000000004</v>
      </c>
    </row>
    <row r="3" spans="2:4" x14ac:dyDescent="0.2">
      <c r="B3" s="39" t="s">
        <v>51</v>
      </c>
      <c r="D3" s="39">
        <v>1.17</v>
      </c>
    </row>
    <row r="4" spans="2:4" ht="16" x14ac:dyDescent="0.2">
      <c r="B4" s="40" t="s">
        <v>52</v>
      </c>
      <c r="D4" s="41">
        <v>1</v>
      </c>
    </row>
    <row r="5" spans="2:4" ht="16" x14ac:dyDescent="0.2">
      <c r="B5" s="40" t="s">
        <v>53</v>
      </c>
      <c r="D5" s="41">
        <f>(D4-$D$2)/$D$3</f>
        <v>0.38461538461538458</v>
      </c>
    </row>
    <row r="6" spans="2:4" ht="16" x14ac:dyDescent="0.2">
      <c r="B6" s="42"/>
      <c r="D6" s="42"/>
    </row>
    <row r="7" spans="2:4" ht="16" x14ac:dyDescent="0.2">
      <c r="B7" s="43" t="s">
        <v>54</v>
      </c>
      <c r="D7" s="41"/>
    </row>
    <row r="8" spans="2:4" ht="16" x14ac:dyDescent="0.2">
      <c r="B8" s="44" t="s">
        <v>55</v>
      </c>
      <c r="D8" s="41">
        <f>_xlfn.NORM.S.DIST(D5,TRUE)</f>
        <v>0.64973880294807562</v>
      </c>
    </row>
    <row r="9" spans="2:4" ht="16" x14ac:dyDescent="0.2">
      <c r="B9" s="42"/>
      <c r="D9" s="41"/>
    </row>
    <row r="10" spans="2:4" ht="16" x14ac:dyDescent="0.2">
      <c r="B10" s="44" t="s">
        <v>56</v>
      </c>
      <c r="D10" s="41">
        <f>1-D8</f>
        <v>0.35026119705192438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42F07-A3DE-D041-9BB1-1BC0684C7CB4}">
  <dimension ref="A1:M989"/>
  <sheetViews>
    <sheetView workbookViewId="0">
      <selection activeCell="F31" sqref="F31"/>
    </sheetView>
  </sheetViews>
  <sheetFormatPr baseColWidth="10" defaultColWidth="11.1640625" defaultRowHeight="15" customHeight="1" x14ac:dyDescent="0.2"/>
  <cols>
    <col min="1" max="3" width="11" style="45" customWidth="1"/>
    <col min="4" max="4" width="21.6640625" style="45" bestFit="1" customWidth="1"/>
    <col min="5" max="5" width="23.33203125" style="45" bestFit="1" customWidth="1"/>
    <col min="6" max="7" width="13.83203125" style="45" customWidth="1"/>
    <col min="8" max="8" width="11" style="45" customWidth="1"/>
    <col min="9" max="9" width="13.33203125" style="45" customWidth="1"/>
    <col min="10" max="10" width="11.6640625" style="45" bestFit="1" customWidth="1"/>
    <col min="11" max="11" width="23.6640625" style="45" bestFit="1" customWidth="1"/>
    <col min="12" max="12" width="13.83203125" style="45" customWidth="1"/>
    <col min="13" max="13" width="24.33203125" style="45" bestFit="1" customWidth="1"/>
    <col min="14" max="31" width="11" style="45" customWidth="1"/>
    <col min="32" max="16384" width="11.1640625" style="45"/>
  </cols>
  <sheetData>
    <row r="1" spans="1:13" ht="15.75" customHeight="1" x14ac:dyDescent="0.2"/>
    <row r="2" spans="1:13" ht="15.75" customHeight="1" x14ac:dyDescent="0.2">
      <c r="A2" s="78" t="s">
        <v>106</v>
      </c>
      <c r="D2" s="46" t="s">
        <v>57</v>
      </c>
    </row>
    <row r="3" spans="1:13" ht="15.75" customHeight="1" x14ac:dyDescent="0.2">
      <c r="A3" s="45" t="s">
        <v>107</v>
      </c>
      <c r="B3" s="45">
        <v>40</v>
      </c>
      <c r="D3" s="47" t="s">
        <v>58</v>
      </c>
      <c r="E3" s="47" t="s">
        <v>59</v>
      </c>
      <c r="F3" s="47" t="s">
        <v>60</v>
      </c>
      <c r="G3" s="47" t="s">
        <v>61</v>
      </c>
      <c r="H3" s="47" t="s">
        <v>62</v>
      </c>
      <c r="I3" s="47" t="s">
        <v>39</v>
      </c>
      <c r="J3" s="47" t="s">
        <v>63</v>
      </c>
      <c r="K3" s="47" t="s">
        <v>64</v>
      </c>
      <c r="L3" s="47" t="s">
        <v>65</v>
      </c>
      <c r="M3" s="47" t="s">
        <v>66</v>
      </c>
    </row>
    <row r="4" spans="1:13" ht="15.75" customHeight="1" x14ac:dyDescent="0.2">
      <c r="A4" s="45" t="s">
        <v>108</v>
      </c>
      <c r="B4" s="45">
        <v>80</v>
      </c>
      <c r="D4" s="48" t="s">
        <v>67</v>
      </c>
      <c r="E4" s="49">
        <f>B3</f>
        <v>40</v>
      </c>
      <c r="F4" s="49">
        <f>B4</f>
        <v>80</v>
      </c>
      <c r="G4" s="49">
        <f>B5</f>
        <v>100</v>
      </c>
      <c r="H4" s="49">
        <f>SUM(E4:G4)</f>
        <v>220</v>
      </c>
      <c r="I4" s="49">
        <v>3</v>
      </c>
      <c r="J4" s="49">
        <f>H4/I4</f>
        <v>73.333333333333329</v>
      </c>
      <c r="L4" s="49">
        <v>100</v>
      </c>
      <c r="M4" s="45" t="s">
        <v>68</v>
      </c>
    </row>
    <row r="5" spans="1:13" ht="15.75" customHeight="1" x14ac:dyDescent="0.2">
      <c r="A5" s="45" t="s">
        <v>109</v>
      </c>
      <c r="B5" s="45">
        <v>100</v>
      </c>
      <c r="D5" s="48" t="s">
        <v>69</v>
      </c>
      <c r="E5" s="49">
        <f>E4</f>
        <v>40</v>
      </c>
      <c r="F5" s="49">
        <f>F4</f>
        <v>80</v>
      </c>
      <c r="G5" s="49">
        <f>G4/B7</f>
        <v>50</v>
      </c>
      <c r="H5" s="49">
        <f t="shared" ref="H5" si="0">SUM(E5:G5)</f>
        <v>170</v>
      </c>
      <c r="I5" s="49">
        <v>3</v>
      </c>
      <c r="J5" s="49">
        <f t="shared" ref="J5" si="1">H5/I5</f>
        <v>56.666666666666664</v>
      </c>
      <c r="K5" s="50">
        <f>J5/J4-1</f>
        <v>-0.22727272727272729</v>
      </c>
      <c r="L5" s="49">
        <f>L4*(J5/J4)</f>
        <v>77.272727272727266</v>
      </c>
      <c r="M5" s="50">
        <f>(L5/L4-1)</f>
        <v>-0.22727272727272729</v>
      </c>
    </row>
    <row r="6" spans="1:13" ht="15.75" customHeight="1" x14ac:dyDescent="0.2">
      <c r="E6" s="49"/>
      <c r="F6" s="49"/>
      <c r="G6" s="49"/>
      <c r="H6" s="49"/>
      <c r="I6" s="49"/>
      <c r="J6" s="49"/>
      <c r="K6" s="50"/>
      <c r="L6" s="49"/>
      <c r="M6" s="50"/>
    </row>
    <row r="7" spans="1:13" ht="15.75" customHeight="1" x14ac:dyDescent="0.2">
      <c r="A7" s="45" t="s">
        <v>110</v>
      </c>
      <c r="B7" s="73">
        <v>2</v>
      </c>
      <c r="E7" s="49"/>
      <c r="F7" s="49"/>
      <c r="G7" s="49"/>
      <c r="H7" s="49"/>
      <c r="I7" s="49"/>
      <c r="J7" s="49"/>
      <c r="K7" s="50"/>
      <c r="L7" s="49"/>
      <c r="M7" s="50"/>
    </row>
    <row r="8" spans="1:13" ht="15.75" customHeight="1" x14ac:dyDescent="0.2">
      <c r="E8" s="49"/>
      <c r="F8" s="49"/>
      <c r="G8" s="49"/>
      <c r="H8" s="49"/>
      <c r="I8" s="49"/>
      <c r="J8" s="49"/>
      <c r="K8" s="50"/>
      <c r="L8" s="49"/>
      <c r="M8" s="50"/>
    </row>
    <row r="9" spans="1:13" ht="15.75" customHeight="1" x14ac:dyDescent="0.2">
      <c r="A9" s="45" t="s">
        <v>111</v>
      </c>
      <c r="B9" s="77">
        <f>F18</f>
        <v>2.3181818181818183</v>
      </c>
      <c r="D9" s="46" t="s">
        <v>70</v>
      </c>
      <c r="E9" s="51"/>
    </row>
    <row r="10" spans="1:13" ht="15.75" customHeight="1" x14ac:dyDescent="0.2">
      <c r="D10" s="47" t="s">
        <v>58</v>
      </c>
      <c r="E10" s="47" t="s">
        <v>59</v>
      </c>
      <c r="F10" s="47" t="s">
        <v>60</v>
      </c>
      <c r="G10" s="47" t="s">
        <v>61</v>
      </c>
      <c r="H10" s="47" t="s">
        <v>62</v>
      </c>
      <c r="I10" s="47" t="s">
        <v>39</v>
      </c>
      <c r="J10" s="47" t="s">
        <v>63</v>
      </c>
      <c r="K10" s="47" t="s">
        <v>64</v>
      </c>
      <c r="L10" s="47" t="s">
        <v>65</v>
      </c>
      <c r="M10" s="47" t="s">
        <v>66</v>
      </c>
    </row>
    <row r="11" spans="1:13" ht="15.75" customHeight="1" x14ac:dyDescent="0.2">
      <c r="D11" s="48" t="s">
        <v>67</v>
      </c>
      <c r="E11" s="49">
        <f t="shared" ref="E11:G12" si="2">E4</f>
        <v>40</v>
      </c>
      <c r="F11" s="49">
        <f t="shared" si="2"/>
        <v>80</v>
      </c>
      <c r="G11" s="49">
        <f t="shared" si="2"/>
        <v>100</v>
      </c>
      <c r="H11" s="49">
        <f>SUM(E11:G11)</f>
        <v>220</v>
      </c>
      <c r="I11" s="77">
        <v>3</v>
      </c>
      <c r="J11" s="49">
        <f>H11/I11</f>
        <v>73.333333333333329</v>
      </c>
      <c r="L11" s="49">
        <v>100</v>
      </c>
      <c r="M11" s="45" t="s">
        <v>68</v>
      </c>
    </row>
    <row r="12" spans="1:13" ht="15.75" customHeight="1" x14ac:dyDescent="0.2">
      <c r="D12" s="48" t="s">
        <v>69</v>
      </c>
      <c r="E12" s="49">
        <f t="shared" si="2"/>
        <v>40</v>
      </c>
      <c r="F12" s="49">
        <f t="shared" si="2"/>
        <v>80</v>
      </c>
      <c r="G12" s="49">
        <f t="shared" si="2"/>
        <v>50</v>
      </c>
      <c r="H12" s="49">
        <f t="shared" ref="H12" si="3">SUM(E12:G12)</f>
        <v>170</v>
      </c>
      <c r="I12" s="77">
        <f>F18</f>
        <v>2.3181818181818183</v>
      </c>
      <c r="J12" s="49">
        <f t="shared" ref="J12" si="4">H12/I12</f>
        <v>73.333333333333329</v>
      </c>
      <c r="K12" s="50">
        <f>J12/J11-1</f>
        <v>0</v>
      </c>
      <c r="L12" s="49">
        <f>L11*(J12/J11)</f>
        <v>100</v>
      </c>
      <c r="M12" s="50">
        <f>(L12/L11-1)</f>
        <v>0</v>
      </c>
    </row>
    <row r="13" spans="1:13" ht="15.75" customHeight="1" x14ac:dyDescent="0.2"/>
    <row r="14" spans="1:13" ht="15.75" customHeight="1" x14ac:dyDescent="0.2"/>
    <row r="15" spans="1:13" ht="15.75" customHeight="1" x14ac:dyDescent="0.2"/>
    <row r="16" spans="1:13" ht="15.75" customHeight="1" x14ac:dyDescent="0.2"/>
    <row r="17" spans="4:6" ht="15.75" customHeight="1" x14ac:dyDescent="0.2">
      <c r="D17" s="48" t="s">
        <v>71</v>
      </c>
      <c r="E17" s="45" t="s">
        <v>72</v>
      </c>
      <c r="F17" s="49">
        <f>H12</f>
        <v>170</v>
      </c>
    </row>
    <row r="18" spans="4:6" ht="15.75" customHeight="1" x14ac:dyDescent="0.2">
      <c r="E18" s="52" t="s">
        <v>39</v>
      </c>
      <c r="F18" s="76">
        <f>F17/F19</f>
        <v>2.3181818181818183</v>
      </c>
    </row>
    <row r="19" spans="4:6" ht="15.75" customHeight="1" x14ac:dyDescent="0.2">
      <c r="E19" s="45" t="s">
        <v>73</v>
      </c>
      <c r="F19" s="49">
        <f>J11</f>
        <v>73.333333333333329</v>
      </c>
    </row>
    <row r="20" spans="4:6" ht="15.75" customHeight="1" x14ac:dyDescent="0.2">
      <c r="E20" s="52" t="s">
        <v>74</v>
      </c>
      <c r="F20" s="53">
        <f>F17/F18</f>
        <v>73.333333333333329</v>
      </c>
    </row>
    <row r="21" spans="4:6" ht="15.75" customHeight="1" x14ac:dyDescent="0.2"/>
    <row r="22" spans="4:6" ht="15.75" customHeight="1" x14ac:dyDescent="0.2"/>
    <row r="23" spans="4:6" ht="15.75" customHeight="1" x14ac:dyDescent="0.2"/>
    <row r="24" spans="4:6" ht="15.75" customHeight="1" x14ac:dyDescent="0.2"/>
    <row r="25" spans="4:6" ht="15.75" customHeight="1" x14ac:dyDescent="0.2"/>
    <row r="26" spans="4:6" ht="15.75" customHeight="1" x14ac:dyDescent="0.2"/>
    <row r="27" spans="4:6" ht="15.75" customHeight="1" x14ac:dyDescent="0.2"/>
    <row r="28" spans="4:6" ht="15.75" customHeight="1" x14ac:dyDescent="0.2"/>
    <row r="29" spans="4:6" ht="15.75" customHeight="1" x14ac:dyDescent="0.2"/>
    <row r="30" spans="4:6" ht="15.75" customHeight="1" x14ac:dyDescent="0.2"/>
    <row r="31" spans="4:6" ht="15.75" customHeight="1" x14ac:dyDescent="0.2"/>
    <row r="32" spans="4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D15E3-3F8F-6545-AF36-917D1D5DB8E0}">
  <dimension ref="B2:D22"/>
  <sheetViews>
    <sheetView workbookViewId="0">
      <selection activeCell="D36" sqref="D36"/>
    </sheetView>
  </sheetViews>
  <sheetFormatPr baseColWidth="10" defaultRowHeight="15" x14ac:dyDescent="0.2"/>
  <cols>
    <col min="1" max="1" width="10.83203125" style="55"/>
    <col min="2" max="2" width="39" style="55" bestFit="1" customWidth="1"/>
    <col min="3" max="3" width="10.83203125" style="55"/>
    <col min="4" max="4" width="25.5" style="55" bestFit="1" customWidth="1"/>
    <col min="5" max="16384" width="10.83203125" style="55"/>
  </cols>
  <sheetData>
    <row r="2" spans="2:4" x14ac:dyDescent="0.2">
      <c r="B2" s="54" t="s">
        <v>19</v>
      </c>
    </row>
    <row r="3" spans="2:4" x14ac:dyDescent="0.2">
      <c r="B3" s="56" t="s">
        <v>20</v>
      </c>
      <c r="C3" s="55">
        <v>-0.45</v>
      </c>
    </row>
    <row r="4" spans="2:4" x14ac:dyDescent="0.2">
      <c r="B4" s="56" t="s">
        <v>75</v>
      </c>
      <c r="C4" s="55">
        <v>3.8</v>
      </c>
    </row>
    <row r="5" spans="2:4" x14ac:dyDescent="0.2">
      <c r="B5" s="56" t="s">
        <v>76</v>
      </c>
      <c r="C5" s="55">
        <f>C4-3</f>
        <v>0.79999999999999982</v>
      </c>
    </row>
    <row r="6" spans="2:4" x14ac:dyDescent="0.2">
      <c r="B6" s="56" t="s">
        <v>14</v>
      </c>
      <c r="C6" s="55">
        <v>240</v>
      </c>
    </row>
    <row r="7" spans="2:4" ht="17" x14ac:dyDescent="0.2">
      <c r="B7" s="56" t="s">
        <v>77</v>
      </c>
      <c r="C7" s="57">
        <f>C3^2</f>
        <v>0.20250000000000001</v>
      </c>
    </row>
    <row r="8" spans="2:4" ht="17" x14ac:dyDescent="0.2">
      <c r="B8" s="56" t="s">
        <v>78</v>
      </c>
      <c r="C8" s="57">
        <f>C5^2</f>
        <v>0.63999999999999968</v>
      </c>
    </row>
    <row r="9" spans="2:4" ht="17" x14ac:dyDescent="0.2">
      <c r="B9" s="56" t="s">
        <v>79</v>
      </c>
      <c r="C9" s="57">
        <f>C7/6</f>
        <v>3.3750000000000002E-2</v>
      </c>
    </row>
    <row r="10" spans="2:4" ht="17" x14ac:dyDescent="0.2">
      <c r="B10" s="56" t="s">
        <v>80</v>
      </c>
      <c r="C10" s="57">
        <f>C8/24</f>
        <v>2.6666666666666655E-2</v>
      </c>
    </row>
    <row r="11" spans="2:4" x14ac:dyDescent="0.2">
      <c r="B11" s="56"/>
      <c r="C11" s="57"/>
    </row>
    <row r="12" spans="2:4" x14ac:dyDescent="0.2">
      <c r="B12" s="56" t="s">
        <v>28</v>
      </c>
      <c r="C12" s="57">
        <f>C6*(C9+C10)</f>
        <v>14.499999999999998</v>
      </c>
    </row>
    <row r="13" spans="2:4" x14ac:dyDescent="0.2">
      <c r="B13" s="56"/>
      <c r="C13" s="57"/>
    </row>
    <row r="14" spans="2:4" x14ac:dyDescent="0.2">
      <c r="B14" s="56" t="s">
        <v>29</v>
      </c>
      <c r="C14" s="57"/>
    </row>
    <row r="15" spans="2:4" x14ac:dyDescent="0.2">
      <c r="B15" s="56"/>
      <c r="C15" s="57"/>
      <c r="D15" s="58" t="s">
        <v>81</v>
      </c>
    </row>
    <row r="16" spans="2:4" x14ac:dyDescent="0.2">
      <c r="B16" s="56" t="s">
        <v>31</v>
      </c>
      <c r="C16" s="57">
        <f>_xlfn.CHISQ.INV.RT(0.01,2)</f>
        <v>9.2103403719761818</v>
      </c>
      <c r="D16" s="55" t="str">
        <f>IF(C16&gt;$D$48,"Data is normally distributed","Data is not normally distributed")</f>
        <v>Data is normally distributed</v>
      </c>
    </row>
    <row r="17" spans="2:4" x14ac:dyDescent="0.2">
      <c r="B17" s="56" t="s">
        <v>32</v>
      </c>
      <c r="C17" s="57">
        <f>_xlfn.CHISQ.INV.RT(0.05,2)</f>
        <v>5.9914645471079817</v>
      </c>
      <c r="D17" s="55" t="str">
        <f>IF(C17&gt;$D$48,"Data is normally distributed","Data is not normally distributed")</f>
        <v>Data is normally distributed</v>
      </c>
    </row>
    <row r="18" spans="2:4" x14ac:dyDescent="0.2">
      <c r="B18" s="56" t="s">
        <v>33</v>
      </c>
      <c r="C18" s="57">
        <f>_xlfn.CHISQ.INV.RT(0.1,2)</f>
        <v>4.6051701859880909</v>
      </c>
      <c r="D18" s="55" t="str">
        <f>IF(C18&gt;$D$48,"Data is normally distributed","Data is not normally distributed")</f>
        <v>Data is normally distributed</v>
      </c>
    </row>
    <row r="19" spans="2:4" x14ac:dyDescent="0.2">
      <c r="B19" s="56"/>
      <c r="C19" s="57"/>
    </row>
    <row r="20" spans="2:4" x14ac:dyDescent="0.2">
      <c r="B20" s="56"/>
      <c r="C20" s="57"/>
    </row>
    <row r="21" spans="2:4" x14ac:dyDescent="0.2">
      <c r="B21" s="56" t="s">
        <v>34</v>
      </c>
      <c r="C21" s="57"/>
    </row>
    <row r="22" spans="2:4" x14ac:dyDescent="0.2">
      <c r="B22" s="56" t="s">
        <v>35</v>
      </c>
      <c r="C22" s="57">
        <f>_xlfn.CHISQ.DIST.RT(C12,2)</f>
        <v>7.1017438884254968E-4</v>
      </c>
      <c r="D22" s="55" t="str">
        <f>IF(0.1&gt;C22,"Data is not normally distributed","Data is normally distributed")</f>
        <v>Data is not normally distributed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972A2-2B45-DB45-B1CF-A53ED2C87EFD}">
  <dimension ref="B2:D22"/>
  <sheetViews>
    <sheetView workbookViewId="0">
      <selection activeCell="G45" sqref="G45"/>
    </sheetView>
  </sheetViews>
  <sheetFormatPr baseColWidth="10" defaultRowHeight="15" x14ac:dyDescent="0.2"/>
  <cols>
    <col min="1" max="1" width="10.83203125" style="55"/>
    <col min="2" max="2" width="39" style="55" bestFit="1" customWidth="1"/>
    <col min="3" max="3" width="10.83203125" style="55"/>
    <col min="4" max="4" width="25.5" style="55" bestFit="1" customWidth="1"/>
    <col min="5" max="16384" width="10.83203125" style="55"/>
  </cols>
  <sheetData>
    <row r="2" spans="2:4" x14ac:dyDescent="0.2">
      <c r="B2" s="54" t="s">
        <v>19</v>
      </c>
    </row>
    <row r="3" spans="2:4" x14ac:dyDescent="0.2">
      <c r="B3" s="56" t="s">
        <v>20</v>
      </c>
      <c r="C3" s="55">
        <v>-0.45</v>
      </c>
    </row>
    <row r="4" spans="2:4" x14ac:dyDescent="0.2">
      <c r="B4" s="56" t="s">
        <v>75</v>
      </c>
      <c r="C4" s="55">
        <v>3.8</v>
      </c>
    </row>
    <row r="5" spans="2:4" x14ac:dyDescent="0.2">
      <c r="B5" s="56" t="s">
        <v>76</v>
      </c>
      <c r="C5" s="55">
        <f>C4-3</f>
        <v>0.79999999999999982</v>
      </c>
    </row>
    <row r="6" spans="2:4" x14ac:dyDescent="0.2">
      <c r="B6" s="56" t="s">
        <v>14</v>
      </c>
      <c r="C6" s="55">
        <v>240</v>
      </c>
    </row>
    <row r="7" spans="2:4" ht="17" x14ac:dyDescent="0.2">
      <c r="B7" s="56" t="s">
        <v>77</v>
      </c>
      <c r="C7" s="57">
        <f>C3^2</f>
        <v>0.20250000000000001</v>
      </c>
    </row>
    <row r="8" spans="2:4" ht="17" x14ac:dyDescent="0.2">
      <c r="B8" s="56" t="s">
        <v>78</v>
      </c>
      <c r="C8" s="57">
        <f>C5^2</f>
        <v>0.63999999999999968</v>
      </c>
    </row>
    <row r="9" spans="2:4" ht="17" x14ac:dyDescent="0.2">
      <c r="B9" s="56" t="s">
        <v>79</v>
      </c>
      <c r="C9" s="57">
        <f>C7/6</f>
        <v>3.3750000000000002E-2</v>
      </c>
    </row>
    <row r="10" spans="2:4" ht="17" x14ac:dyDescent="0.2">
      <c r="B10" s="56" t="s">
        <v>80</v>
      </c>
      <c r="C10" s="57">
        <f>C8/24</f>
        <v>2.6666666666666655E-2</v>
      </c>
    </row>
    <row r="11" spans="2:4" x14ac:dyDescent="0.2">
      <c r="B11" s="56"/>
      <c r="C11" s="57"/>
    </row>
    <row r="12" spans="2:4" x14ac:dyDescent="0.2">
      <c r="B12" s="56" t="s">
        <v>28</v>
      </c>
      <c r="C12" s="57">
        <f>C6*(C9+C10)</f>
        <v>14.499999999999998</v>
      </c>
    </row>
    <row r="13" spans="2:4" x14ac:dyDescent="0.2">
      <c r="B13" s="56"/>
      <c r="C13" s="57"/>
    </row>
    <row r="14" spans="2:4" x14ac:dyDescent="0.2">
      <c r="B14" s="56" t="s">
        <v>29</v>
      </c>
      <c r="C14" s="57"/>
    </row>
    <row r="15" spans="2:4" x14ac:dyDescent="0.2">
      <c r="B15" s="56"/>
      <c r="C15" s="57"/>
      <c r="D15" s="58" t="s">
        <v>81</v>
      </c>
    </row>
    <row r="16" spans="2:4" x14ac:dyDescent="0.2">
      <c r="B16" s="56" t="s">
        <v>31</v>
      </c>
      <c r="C16" s="57">
        <f>_xlfn.CHISQ.INV.RT(0.01,2)</f>
        <v>9.2103403719761818</v>
      </c>
      <c r="D16" s="55" t="str">
        <f>IF(C16&gt;$D$48,"Data is normally distributed","Data is not normally distributed")</f>
        <v>Data is normally distributed</v>
      </c>
    </row>
    <row r="17" spans="2:4" x14ac:dyDescent="0.2">
      <c r="B17" s="56" t="s">
        <v>32</v>
      </c>
      <c r="C17" s="57">
        <f>_xlfn.CHISQ.INV.RT(0.05,2)</f>
        <v>5.9914645471079817</v>
      </c>
      <c r="D17" s="55" t="str">
        <f>IF(C17&gt;$D$48,"Data is normally distributed","Data is not normally distributed")</f>
        <v>Data is normally distributed</v>
      </c>
    </row>
    <row r="18" spans="2:4" x14ac:dyDescent="0.2">
      <c r="B18" s="56" t="s">
        <v>33</v>
      </c>
      <c r="C18" s="57">
        <f>_xlfn.CHISQ.INV.RT(0.1,2)</f>
        <v>4.6051701859880909</v>
      </c>
      <c r="D18" s="55" t="str">
        <f>IF(C18&gt;$D$48,"Data is normally distributed","Data is not normally distributed")</f>
        <v>Data is normally distributed</v>
      </c>
    </row>
    <row r="19" spans="2:4" x14ac:dyDescent="0.2">
      <c r="B19" s="56"/>
      <c r="C19" s="57"/>
    </row>
    <row r="20" spans="2:4" x14ac:dyDescent="0.2">
      <c r="B20" s="56"/>
      <c r="C20" s="57"/>
    </row>
    <row r="21" spans="2:4" x14ac:dyDescent="0.2">
      <c r="B21" s="56" t="s">
        <v>34</v>
      </c>
      <c r="C21" s="57"/>
    </row>
    <row r="22" spans="2:4" x14ac:dyDescent="0.2">
      <c r="B22" s="56" t="s">
        <v>35</v>
      </c>
      <c r="C22" s="57">
        <f>_xlfn.CHISQ.DIST.RT(C12,2)</f>
        <v>7.1017438884254968E-4</v>
      </c>
      <c r="D22" s="55" t="str">
        <f>IF(0.1&gt;C22,"Data is not normally distributed","Data is normally distributed")</f>
        <v>Data is not normally distributed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3DC48-B3EC-AF4A-9327-41A521B5F1C6}">
  <dimension ref="B3:C7"/>
  <sheetViews>
    <sheetView workbookViewId="0">
      <selection activeCell="D36" sqref="D36"/>
    </sheetView>
  </sheetViews>
  <sheetFormatPr baseColWidth="10" defaultColWidth="9" defaultRowHeight="15" x14ac:dyDescent="0.2"/>
  <cols>
    <col min="1" max="2" width="9" style="59"/>
    <col min="3" max="3" width="10.1640625" style="59" bestFit="1" customWidth="1"/>
    <col min="4" max="16384" width="9" style="59"/>
  </cols>
  <sheetData>
    <row r="3" spans="2:3" x14ac:dyDescent="0.2">
      <c r="B3" s="59" t="s">
        <v>82</v>
      </c>
      <c r="C3" s="59">
        <v>200000000</v>
      </c>
    </row>
    <row r="4" spans="2:3" x14ac:dyDescent="0.2">
      <c r="B4" s="59" t="s">
        <v>83</v>
      </c>
      <c r="C4" s="59">
        <v>260000000</v>
      </c>
    </row>
    <row r="5" spans="2:3" x14ac:dyDescent="0.2">
      <c r="B5" s="59" t="s">
        <v>23</v>
      </c>
      <c r="C5" s="59">
        <v>4</v>
      </c>
    </row>
    <row r="7" spans="2:3" x14ac:dyDescent="0.2">
      <c r="B7" s="59" t="s">
        <v>84</v>
      </c>
      <c r="C7" s="60">
        <f>(C4/C3)^(1/C5)-1</f>
        <v>6.7789972372440888E-2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8CE78-783F-3042-88A7-327A401E9374}">
  <dimension ref="B2:E15"/>
  <sheetViews>
    <sheetView workbookViewId="0">
      <selection activeCell="D36" sqref="D36"/>
    </sheetView>
  </sheetViews>
  <sheetFormatPr baseColWidth="10" defaultColWidth="11.1640625" defaultRowHeight="16" x14ac:dyDescent="0.2"/>
  <cols>
    <col min="1" max="1" width="11.1640625" style="45"/>
    <col min="2" max="2" width="21" style="45" bestFit="1" customWidth="1"/>
    <col min="3" max="16384" width="11.1640625" style="45"/>
  </cols>
  <sheetData>
    <row r="2" spans="2:5" x14ac:dyDescent="0.2">
      <c r="B2" s="45" t="s">
        <v>85</v>
      </c>
      <c r="C2" s="45">
        <v>1</v>
      </c>
    </row>
    <row r="3" spans="2:5" x14ac:dyDescent="0.2">
      <c r="B3" s="45" t="s">
        <v>86</v>
      </c>
      <c r="C3" s="52">
        <v>50</v>
      </c>
    </row>
    <row r="4" spans="2:5" x14ac:dyDescent="0.2">
      <c r="B4" s="45" t="s">
        <v>87</v>
      </c>
      <c r="C4" s="45">
        <v>51</v>
      </c>
    </row>
    <row r="5" spans="2:5" x14ac:dyDescent="0.2">
      <c r="B5" s="45" t="s">
        <v>88</v>
      </c>
      <c r="C5" s="45">
        <v>1</v>
      </c>
    </row>
    <row r="6" spans="2:5" x14ac:dyDescent="0.2">
      <c r="B6" s="45" t="s">
        <v>89</v>
      </c>
      <c r="C6" s="45">
        <v>1</v>
      </c>
    </row>
    <row r="7" spans="2:5" x14ac:dyDescent="0.2">
      <c r="B7" s="45" t="s">
        <v>90</v>
      </c>
      <c r="C7" s="46">
        <f>C2*C3</f>
        <v>50</v>
      </c>
    </row>
    <row r="8" spans="2:5" x14ac:dyDescent="0.2">
      <c r="B8" s="45" t="s">
        <v>91</v>
      </c>
      <c r="C8" s="45">
        <f>C5*C2</f>
        <v>1</v>
      </c>
    </row>
    <row r="9" spans="2:5" x14ac:dyDescent="0.2">
      <c r="B9" s="45" t="s">
        <v>92</v>
      </c>
      <c r="C9" s="61">
        <f>C2*(C4-C3)</f>
        <v>1</v>
      </c>
      <c r="D9" s="62">
        <v>1</v>
      </c>
      <c r="E9" s="62" t="s">
        <v>93</v>
      </c>
    </row>
    <row r="10" spans="2:5" x14ac:dyDescent="0.2">
      <c r="B10" s="45" t="s">
        <v>94</v>
      </c>
      <c r="C10" s="45">
        <f>C8+C9</f>
        <v>2</v>
      </c>
      <c r="D10" s="59"/>
      <c r="E10" s="59"/>
    </row>
    <row r="11" spans="2:5" x14ac:dyDescent="0.2">
      <c r="B11" s="45" t="s">
        <v>95</v>
      </c>
      <c r="C11" s="46">
        <f>C7+C10</f>
        <v>52</v>
      </c>
      <c r="D11" s="62">
        <v>2</v>
      </c>
      <c r="E11" s="62" t="s">
        <v>96</v>
      </c>
    </row>
    <row r="12" spans="2:5" x14ac:dyDescent="0.2">
      <c r="B12" s="45" t="s">
        <v>97</v>
      </c>
      <c r="C12" s="45">
        <f>C11/C7</f>
        <v>1.04</v>
      </c>
      <c r="D12" s="59"/>
      <c r="E12" s="59"/>
    </row>
    <row r="13" spans="2:5" x14ac:dyDescent="0.2">
      <c r="B13" s="45" t="s">
        <v>98</v>
      </c>
      <c r="C13" s="50">
        <f>C12-1</f>
        <v>4.0000000000000036E-2</v>
      </c>
      <c r="D13" s="59"/>
      <c r="E13" s="59"/>
    </row>
    <row r="14" spans="2:5" x14ac:dyDescent="0.2">
      <c r="B14" s="45" t="s">
        <v>99</v>
      </c>
      <c r="C14" s="50">
        <f>((C11/C7)^(1/C6))-1</f>
        <v>4.0000000000000036E-2</v>
      </c>
      <c r="D14" s="62">
        <v>2</v>
      </c>
      <c r="E14" s="62" t="s">
        <v>96</v>
      </c>
    </row>
    <row r="15" spans="2:5" x14ac:dyDescent="0.2">
      <c r="D15" s="63">
        <f>SUM(D9:D14)</f>
        <v>5</v>
      </c>
      <c r="E15" s="5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A3470-41E3-9A49-A57A-47AF141E27CD}">
  <dimension ref="B1:D5"/>
  <sheetViews>
    <sheetView workbookViewId="0">
      <selection activeCell="P47" sqref="P47"/>
    </sheetView>
  </sheetViews>
  <sheetFormatPr baseColWidth="10" defaultRowHeight="15" x14ac:dyDescent="0.2"/>
  <cols>
    <col min="1" max="16384" width="10.83203125" style="55"/>
  </cols>
  <sheetData>
    <row r="1" spans="2:4" x14ac:dyDescent="0.2">
      <c r="B1" s="56" t="s">
        <v>58</v>
      </c>
      <c r="C1" s="56" t="s">
        <v>4</v>
      </c>
      <c r="D1" s="56" t="s">
        <v>100</v>
      </c>
    </row>
    <row r="2" spans="2:4" x14ac:dyDescent="0.2">
      <c r="B2" s="55">
        <v>0</v>
      </c>
      <c r="D2" s="55">
        <v>100</v>
      </c>
    </row>
    <row r="3" spans="2:4" x14ac:dyDescent="0.2">
      <c r="B3" s="55">
        <v>1</v>
      </c>
      <c r="C3" s="55">
        <v>8</v>
      </c>
      <c r="D3" s="55">
        <f>D2*(1+C3/100)</f>
        <v>108</v>
      </c>
    </row>
    <row r="4" spans="2:4" x14ac:dyDescent="0.2">
      <c r="B4" s="55">
        <v>2</v>
      </c>
      <c r="C4" s="55">
        <v>-2</v>
      </c>
      <c r="D4" s="55">
        <f t="shared" ref="D4:D5" si="0">D3*(1+C4/100)</f>
        <v>105.84</v>
      </c>
    </row>
    <row r="5" spans="2:4" x14ac:dyDescent="0.2">
      <c r="B5" s="55">
        <v>3</v>
      </c>
      <c r="C5" s="55">
        <v>6</v>
      </c>
      <c r="D5" s="55">
        <f t="shared" si="0"/>
        <v>112.19040000000001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35073-B5CE-CC48-A88B-7048340330F6}">
  <dimension ref="B2:D10"/>
  <sheetViews>
    <sheetView workbookViewId="0">
      <selection activeCell="D36" sqref="D36"/>
    </sheetView>
  </sheetViews>
  <sheetFormatPr baseColWidth="10" defaultRowHeight="15" x14ac:dyDescent="0.2"/>
  <cols>
    <col min="1" max="1" width="10.83203125" style="55"/>
    <col min="2" max="2" width="13.6640625" style="55" bestFit="1" customWidth="1"/>
    <col min="3" max="16384" width="10.83203125" style="55"/>
  </cols>
  <sheetData>
    <row r="2" spans="2:4" x14ac:dyDescent="0.2">
      <c r="B2" s="55" t="s">
        <v>50</v>
      </c>
      <c r="D2" s="55">
        <v>0.8</v>
      </c>
    </row>
    <row r="3" spans="2:4" x14ac:dyDescent="0.2">
      <c r="B3" s="55" t="s">
        <v>51</v>
      </c>
      <c r="D3" s="55">
        <v>2.4</v>
      </c>
    </row>
    <row r="4" spans="2:4" ht="16" x14ac:dyDescent="0.2">
      <c r="B4" s="40" t="s">
        <v>52</v>
      </c>
      <c r="D4" s="64">
        <v>0</v>
      </c>
    </row>
    <row r="5" spans="2:4" ht="16" x14ac:dyDescent="0.2">
      <c r="B5" s="40" t="s">
        <v>53</v>
      </c>
      <c r="D5" s="64">
        <f>(D4-$D$2)/$D$3</f>
        <v>-0.33333333333333337</v>
      </c>
    </row>
    <row r="6" spans="2:4" ht="16" x14ac:dyDescent="0.2">
      <c r="B6" s="65"/>
      <c r="D6" s="65"/>
    </row>
    <row r="7" spans="2:4" ht="16" x14ac:dyDescent="0.2">
      <c r="B7" s="43" t="s">
        <v>54</v>
      </c>
      <c r="D7" s="64"/>
    </row>
    <row r="8" spans="2:4" ht="16" x14ac:dyDescent="0.2">
      <c r="B8" s="66" t="s">
        <v>55</v>
      </c>
      <c r="D8" s="64">
        <f>_xlfn.NORM.S.DIST(D5,TRUE)</f>
        <v>0.36944134018176356</v>
      </c>
    </row>
    <row r="9" spans="2:4" ht="16" x14ac:dyDescent="0.2">
      <c r="B9" s="65"/>
      <c r="D9" s="64"/>
    </row>
    <row r="10" spans="2:4" ht="16" x14ac:dyDescent="0.2">
      <c r="B10" s="66" t="s">
        <v>56</v>
      </c>
      <c r="D10" s="64">
        <f>1-D8</f>
        <v>0.63055865981823644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7353F-533F-F541-B125-AD1251D5B661}">
  <dimension ref="B2:F8"/>
  <sheetViews>
    <sheetView workbookViewId="0">
      <selection activeCell="D36" sqref="D36"/>
    </sheetView>
  </sheetViews>
  <sheetFormatPr baseColWidth="10" defaultColWidth="11.1640625" defaultRowHeight="16" x14ac:dyDescent="0.2"/>
  <cols>
    <col min="1" max="1" width="11.1640625" style="45"/>
    <col min="2" max="2" width="12.33203125" style="45" bestFit="1" customWidth="1"/>
    <col min="3" max="16384" width="11.1640625" style="45"/>
  </cols>
  <sheetData>
    <row r="2" spans="2:6" x14ac:dyDescent="0.2">
      <c r="B2" s="67" t="s">
        <v>58</v>
      </c>
      <c r="C2" s="67" t="s">
        <v>98</v>
      </c>
      <c r="D2" s="45" t="s">
        <v>97</v>
      </c>
    </row>
    <row r="3" spans="2:6" x14ac:dyDescent="0.2">
      <c r="B3" s="68">
        <v>1</v>
      </c>
      <c r="C3" s="69">
        <v>0.1</v>
      </c>
      <c r="D3" s="45">
        <f>1+C3</f>
        <v>1.1000000000000001</v>
      </c>
    </row>
    <row r="4" spans="2:6" x14ac:dyDescent="0.2">
      <c r="B4" s="68">
        <v>2</v>
      </c>
      <c r="C4" s="70">
        <v>-0.05</v>
      </c>
      <c r="D4" s="45">
        <f t="shared" ref="D4:D5" si="0">1+C4</f>
        <v>0.95</v>
      </c>
    </row>
    <row r="5" spans="2:6" x14ac:dyDescent="0.2">
      <c r="B5" s="71">
        <v>3</v>
      </c>
      <c r="C5" s="72">
        <v>0.08</v>
      </c>
      <c r="D5" s="45">
        <f t="shared" si="0"/>
        <v>1.08</v>
      </c>
    </row>
    <row r="6" spans="2:6" x14ac:dyDescent="0.2">
      <c r="B6" s="48" t="s">
        <v>101</v>
      </c>
      <c r="C6" s="50">
        <f>AVERAGE(C3:C5)</f>
        <v>4.3333333333333335E-2</v>
      </c>
      <c r="D6" s="50"/>
      <c r="E6" s="52">
        <v>1</v>
      </c>
      <c r="F6" s="52" t="s">
        <v>96</v>
      </c>
    </row>
    <row r="7" spans="2:6" x14ac:dyDescent="0.2">
      <c r="B7" s="48" t="s">
        <v>102</v>
      </c>
      <c r="C7" s="50"/>
      <c r="D7" s="50">
        <f>GEOMEAN(D3:D5)-1</f>
        <v>4.1150108327570267E-2</v>
      </c>
      <c r="E7" s="52">
        <v>1</v>
      </c>
      <c r="F7" s="52" t="s">
        <v>96</v>
      </c>
    </row>
    <row r="8" spans="2:6" x14ac:dyDescent="0.2">
      <c r="E8" s="73">
        <f>SUM(E6:E7)</f>
        <v>2</v>
      </c>
      <c r="F8" s="73" t="s">
        <v>96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70C0F-BC69-D548-82DE-8A49AC56B70C}">
  <dimension ref="B1:D4"/>
  <sheetViews>
    <sheetView workbookViewId="0">
      <selection activeCell="D36" sqref="D36"/>
    </sheetView>
  </sheetViews>
  <sheetFormatPr baseColWidth="10" defaultRowHeight="15" x14ac:dyDescent="0.2"/>
  <cols>
    <col min="1" max="1" width="10.83203125" style="55"/>
    <col min="2" max="2" width="11.6640625" style="55" bestFit="1" customWidth="1"/>
    <col min="3" max="3" width="11.5" style="55" bestFit="1" customWidth="1"/>
    <col min="4" max="4" width="11.83203125" style="55" bestFit="1" customWidth="1"/>
    <col min="5" max="16384" width="10.83203125" style="55"/>
  </cols>
  <sheetData>
    <row r="1" spans="2:4" x14ac:dyDescent="0.2">
      <c r="B1" s="55" t="s">
        <v>103</v>
      </c>
      <c r="C1" s="55" t="s">
        <v>104</v>
      </c>
      <c r="D1" s="55" t="s">
        <v>105</v>
      </c>
    </row>
    <row r="2" spans="2:4" x14ac:dyDescent="0.2">
      <c r="B2" s="55">
        <v>250</v>
      </c>
      <c r="D2" s="74">
        <v>100</v>
      </c>
    </row>
    <row r="3" spans="2:4" x14ac:dyDescent="0.2">
      <c r="B3" s="55">
        <v>275</v>
      </c>
      <c r="C3" s="75">
        <f>(B3/B2-1)</f>
        <v>0.10000000000000009</v>
      </c>
      <c r="D3" s="74">
        <f>D2*(1+C3)</f>
        <v>110.00000000000001</v>
      </c>
    </row>
    <row r="4" spans="2:4" x14ac:dyDescent="0.2">
      <c r="B4" s="55">
        <v>268</v>
      </c>
      <c r="C4" s="75">
        <f>(B4/B3-1)</f>
        <v>-2.5454545454545507E-2</v>
      </c>
      <c r="D4" s="74">
        <f>D3*(1+C4)</f>
        <v>107.2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40662-88EB-4127-8E37-9A7DD69EDFB1}">
  <dimension ref="A1:S2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S40" sqref="S40"/>
    </sheetView>
  </sheetViews>
  <sheetFormatPr baseColWidth="10" defaultColWidth="8.83203125" defaultRowHeight="15" x14ac:dyDescent="0.2"/>
  <cols>
    <col min="1" max="1" width="17.5" style="8" customWidth="1"/>
    <col min="2" max="3" width="9.83203125" bestFit="1" customWidth="1"/>
    <col min="4" max="5" width="10.5" bestFit="1" customWidth="1"/>
    <col min="6" max="12" width="10.5" customWidth="1"/>
    <col min="13" max="13" width="13.83203125" bestFit="1" customWidth="1"/>
    <col min="14" max="14" width="12" bestFit="1" customWidth="1"/>
    <col min="15" max="15" width="14.83203125" customWidth="1"/>
    <col min="16" max="16" width="12.5" customWidth="1"/>
    <col min="17" max="17" width="10.83203125" bestFit="1" customWidth="1"/>
    <col min="18" max="18" width="15.83203125" customWidth="1"/>
    <col min="19" max="19" width="14" customWidth="1"/>
  </cols>
  <sheetData>
    <row r="1" spans="1:19" ht="48" x14ac:dyDescent="0.2">
      <c r="A1" s="35"/>
      <c r="B1" s="79" t="s">
        <v>36</v>
      </c>
      <c r="C1" s="79"/>
      <c r="D1" s="80" t="s">
        <v>37</v>
      </c>
      <c r="E1" s="80"/>
      <c r="F1" s="36"/>
      <c r="G1" s="36" t="s">
        <v>38</v>
      </c>
      <c r="H1" s="36" t="s">
        <v>39</v>
      </c>
      <c r="I1" s="36" t="s">
        <v>40</v>
      </c>
      <c r="J1" s="36" t="s">
        <v>41</v>
      </c>
      <c r="K1" s="36" t="s">
        <v>42</v>
      </c>
      <c r="L1" s="36"/>
      <c r="M1" s="80" t="s">
        <v>43</v>
      </c>
      <c r="N1" s="80"/>
      <c r="O1" s="37" t="s">
        <v>44</v>
      </c>
      <c r="P1" s="5" t="s">
        <v>39</v>
      </c>
      <c r="Q1" s="37" t="s">
        <v>45</v>
      </c>
      <c r="R1" s="37" t="s">
        <v>46</v>
      </c>
      <c r="S1" s="37" t="s">
        <v>47</v>
      </c>
    </row>
    <row r="2" spans="1:19" x14ac:dyDescent="0.2">
      <c r="A2" s="35" t="s">
        <v>2</v>
      </c>
      <c r="B2" s="5" t="s">
        <v>48</v>
      </c>
      <c r="C2" s="5" t="s">
        <v>49</v>
      </c>
      <c r="D2" s="5" t="str">
        <f>B2</f>
        <v>Delta</v>
      </c>
      <c r="E2" s="5" t="str">
        <f>C2</f>
        <v>Equites</v>
      </c>
      <c r="F2" s="5"/>
      <c r="G2" s="38"/>
      <c r="H2" s="5"/>
      <c r="I2" s="5"/>
      <c r="J2" s="5"/>
      <c r="K2" s="5"/>
      <c r="L2" s="5"/>
      <c r="M2" s="5" t="str">
        <f>B2</f>
        <v>Delta</v>
      </c>
      <c r="N2" s="5" t="str">
        <f>C2</f>
        <v>Equites</v>
      </c>
    </row>
    <row r="3" spans="1:19" x14ac:dyDescent="0.2">
      <c r="A3" s="8">
        <v>42005</v>
      </c>
      <c r="B3" s="34">
        <v>8.6999999999999993</v>
      </c>
      <c r="C3" s="34">
        <v>11</v>
      </c>
      <c r="D3" s="34">
        <v>458410</v>
      </c>
      <c r="E3" s="34">
        <v>114410</v>
      </c>
      <c r="F3" s="34"/>
      <c r="G3" s="34">
        <f>SUM(B3:C3)</f>
        <v>19.7</v>
      </c>
      <c r="H3" s="34">
        <f>G3/I3</f>
        <v>0.19699999999999998</v>
      </c>
      <c r="I3" s="34">
        <v>100</v>
      </c>
      <c r="J3" s="34"/>
      <c r="K3" s="34"/>
      <c r="L3" s="34"/>
      <c r="M3" s="34">
        <f>B3*D3</f>
        <v>3988166.9999999995</v>
      </c>
      <c r="N3" s="34">
        <f>C3*E3</f>
        <v>1258510</v>
      </c>
      <c r="O3" s="34">
        <f>SUM(M3:N3)</f>
        <v>5246677</v>
      </c>
      <c r="P3">
        <f>O3/Q3</f>
        <v>52466.77</v>
      </c>
      <c r="Q3" s="34">
        <v>100</v>
      </c>
    </row>
    <row r="4" spans="1:19" x14ac:dyDescent="0.2">
      <c r="A4" s="8">
        <v>42036</v>
      </c>
      <c r="B4" s="34">
        <v>9.25</v>
      </c>
      <c r="C4" s="34">
        <v>11.25</v>
      </c>
      <c r="D4" s="34">
        <v>458410</v>
      </c>
      <c r="E4" s="34">
        <v>114410</v>
      </c>
      <c r="F4" s="34"/>
      <c r="G4" s="34">
        <f t="shared" ref="G4:G26" si="0">SUM(B4:C4)</f>
        <v>20.5</v>
      </c>
      <c r="H4" s="34">
        <f>H3</f>
        <v>0.19699999999999998</v>
      </c>
      <c r="I4" s="34">
        <f>G4/H4</f>
        <v>104.06091370558377</v>
      </c>
      <c r="J4" s="34">
        <f>(I4/I3-1)*100</f>
        <v>4.0609137055837685</v>
      </c>
      <c r="K4" s="34">
        <f>(G4/G3-1)*100</f>
        <v>4.0609137055837685</v>
      </c>
      <c r="L4" s="34"/>
      <c r="M4" s="34">
        <f t="shared" ref="M4:N26" si="1">B4*D4</f>
        <v>4240292.5</v>
      </c>
      <c r="N4" s="34">
        <f t="shared" si="1"/>
        <v>1287112.5</v>
      </c>
      <c r="O4" s="34">
        <f t="shared" ref="O4:O26" si="2">SUM(M4:N4)</f>
        <v>5527405</v>
      </c>
      <c r="P4">
        <f>P3</f>
        <v>52466.77</v>
      </c>
      <c r="Q4" s="34">
        <f>O4/P4</f>
        <v>105.35058666657011</v>
      </c>
      <c r="R4" s="34">
        <f>(Q4/Q3-1)*100</f>
        <v>5.3505866665701118</v>
      </c>
      <c r="S4" s="34">
        <f>(O4/O3-1)*100</f>
        <v>5.3505866665700896</v>
      </c>
    </row>
    <row r="5" spans="1:19" x14ac:dyDescent="0.2">
      <c r="A5" s="8">
        <v>42064</v>
      </c>
      <c r="B5" s="34">
        <v>9.0500000000000007</v>
      </c>
      <c r="C5" s="34">
        <v>12.7</v>
      </c>
      <c r="D5" s="34">
        <v>533097</v>
      </c>
      <c r="E5" s="34">
        <v>279862</v>
      </c>
      <c r="F5" s="34"/>
      <c r="G5" s="34">
        <f t="shared" si="0"/>
        <v>21.75</v>
      </c>
      <c r="H5" s="34">
        <f t="shared" ref="H5:H26" si="3">H4</f>
        <v>0.19699999999999998</v>
      </c>
      <c r="I5" s="34">
        <f t="shared" ref="I5:I26" si="4">G5/H5</f>
        <v>110.40609137055839</v>
      </c>
      <c r="J5" s="34">
        <f t="shared" ref="J5:J26" si="5">(I5/I4-1)*100</f>
        <v>6.0975609756097393</v>
      </c>
      <c r="K5" s="34">
        <f t="shared" ref="K5:K26" si="6">(G5/G4-1)*100</f>
        <v>6.0975609756097615</v>
      </c>
      <c r="L5" s="34"/>
      <c r="M5" s="34">
        <f t="shared" si="1"/>
        <v>4824527.8500000006</v>
      </c>
      <c r="N5" s="34">
        <f t="shared" si="1"/>
        <v>3554247.4</v>
      </c>
      <c r="O5" s="34">
        <f t="shared" si="2"/>
        <v>8378775.25</v>
      </c>
      <c r="P5">
        <f t="shared" ref="P5:P26" si="7">P4</f>
        <v>52466.77</v>
      </c>
      <c r="Q5" s="34">
        <f t="shared" ref="Q5:Q26" si="8">O5/P5</f>
        <v>159.69679951710387</v>
      </c>
      <c r="R5" s="34">
        <f t="shared" ref="R5:R26" si="9">(Q5/Q4-1)*100</f>
        <v>51.586056205398357</v>
      </c>
      <c r="S5" s="34">
        <f t="shared" ref="S5:S26" si="10">(O5/O4-1)*100</f>
        <v>51.586056205398378</v>
      </c>
    </row>
    <row r="6" spans="1:19" x14ac:dyDescent="0.2">
      <c r="A6" s="8">
        <v>42095</v>
      </c>
      <c r="B6" s="34">
        <v>8.99</v>
      </c>
      <c r="C6" s="34">
        <v>12.5</v>
      </c>
      <c r="D6" s="34">
        <v>533097</v>
      </c>
      <c r="E6" s="34">
        <v>279862</v>
      </c>
      <c r="F6" s="34"/>
      <c r="G6" s="34">
        <f t="shared" si="0"/>
        <v>21.490000000000002</v>
      </c>
      <c r="H6" s="34">
        <f t="shared" si="3"/>
        <v>0.19699999999999998</v>
      </c>
      <c r="I6" s="34">
        <f t="shared" si="4"/>
        <v>109.08629441624367</v>
      </c>
      <c r="J6" s="34">
        <f t="shared" si="5"/>
        <v>-1.1954022988505675</v>
      </c>
      <c r="K6" s="34">
        <f t="shared" si="6"/>
        <v>-1.1954022988505675</v>
      </c>
      <c r="L6" s="34"/>
      <c r="M6" s="34">
        <f t="shared" si="1"/>
        <v>4792542.03</v>
      </c>
      <c r="N6" s="34">
        <f t="shared" si="1"/>
        <v>3498275</v>
      </c>
      <c r="O6" s="34">
        <f t="shared" si="2"/>
        <v>8290817.0300000003</v>
      </c>
      <c r="P6">
        <f t="shared" si="7"/>
        <v>52466.77</v>
      </c>
      <c r="Q6" s="34">
        <f t="shared" si="8"/>
        <v>158.02034373375758</v>
      </c>
      <c r="R6" s="34">
        <f t="shared" si="9"/>
        <v>-1.0497741898495172</v>
      </c>
      <c r="S6" s="34">
        <f t="shared" si="10"/>
        <v>-1.0497741898495172</v>
      </c>
    </row>
    <row r="7" spans="1:19" x14ac:dyDescent="0.2">
      <c r="A7" s="8">
        <v>42125</v>
      </c>
      <c r="B7" s="34">
        <v>9.4</v>
      </c>
      <c r="C7" s="34">
        <v>12.74</v>
      </c>
      <c r="D7" s="34">
        <v>533097</v>
      </c>
      <c r="E7" s="34">
        <v>279862</v>
      </c>
      <c r="F7" s="34"/>
      <c r="G7" s="34">
        <f t="shared" si="0"/>
        <v>22.14</v>
      </c>
      <c r="H7" s="34">
        <f t="shared" si="3"/>
        <v>0.19699999999999998</v>
      </c>
      <c r="I7" s="34">
        <f t="shared" si="4"/>
        <v>112.38578680203047</v>
      </c>
      <c r="J7" s="34">
        <f t="shared" si="5"/>
        <v>3.0246626337831373</v>
      </c>
      <c r="K7" s="34">
        <f t="shared" si="6"/>
        <v>3.0246626337831373</v>
      </c>
      <c r="L7" s="34"/>
      <c r="M7" s="34">
        <f t="shared" si="1"/>
        <v>5011111.8</v>
      </c>
      <c r="N7" s="34">
        <f t="shared" si="1"/>
        <v>3565441.88</v>
      </c>
      <c r="O7" s="34">
        <f t="shared" si="2"/>
        <v>8576553.6799999997</v>
      </c>
      <c r="P7">
        <f t="shared" si="7"/>
        <v>52466.77</v>
      </c>
      <c r="Q7" s="34">
        <f t="shared" si="8"/>
        <v>163.46639368118144</v>
      </c>
      <c r="R7" s="34">
        <f t="shared" si="9"/>
        <v>3.4464233014197765</v>
      </c>
      <c r="S7" s="34">
        <f t="shared" si="10"/>
        <v>3.4464233014197765</v>
      </c>
    </row>
    <row r="8" spans="1:19" x14ac:dyDescent="0.2">
      <c r="A8" s="8">
        <v>42156</v>
      </c>
      <c r="B8" s="34">
        <v>8.9</v>
      </c>
      <c r="C8" s="34">
        <v>12.14</v>
      </c>
      <c r="D8" s="34">
        <v>533097</v>
      </c>
      <c r="E8" s="34">
        <v>279862</v>
      </c>
      <c r="F8" s="34"/>
      <c r="G8" s="34">
        <f t="shared" si="0"/>
        <v>21.04</v>
      </c>
      <c r="H8" s="34">
        <f t="shared" si="3"/>
        <v>0.19699999999999998</v>
      </c>
      <c r="I8" s="34">
        <f t="shared" si="4"/>
        <v>106.8020304568528</v>
      </c>
      <c r="J8" s="34">
        <f t="shared" si="5"/>
        <v>-4.9683830171635019</v>
      </c>
      <c r="K8" s="34">
        <f t="shared" si="6"/>
        <v>-4.9683830171635135</v>
      </c>
      <c r="L8" s="34"/>
      <c r="M8" s="34">
        <f t="shared" si="1"/>
        <v>4744563.3</v>
      </c>
      <c r="N8" s="34">
        <f t="shared" si="1"/>
        <v>3397524.68</v>
      </c>
      <c r="O8" s="34">
        <f t="shared" si="2"/>
        <v>8142087.9800000004</v>
      </c>
      <c r="P8">
        <f t="shared" si="7"/>
        <v>52466.77</v>
      </c>
      <c r="Q8" s="34">
        <f t="shared" si="8"/>
        <v>155.18561519986844</v>
      </c>
      <c r="R8" s="34">
        <f t="shared" si="9"/>
        <v>-5.0657375469257087</v>
      </c>
      <c r="S8" s="34">
        <f t="shared" si="10"/>
        <v>-5.0657375469257193</v>
      </c>
    </row>
    <row r="9" spans="1:19" x14ac:dyDescent="0.2">
      <c r="A9" s="8">
        <v>42186</v>
      </c>
      <c r="B9" s="34">
        <v>8.16</v>
      </c>
      <c r="C9" s="34">
        <v>12</v>
      </c>
      <c r="D9" s="34">
        <v>533097</v>
      </c>
      <c r="E9" s="34">
        <v>279862</v>
      </c>
      <c r="F9" s="34"/>
      <c r="G9" s="34">
        <f t="shared" si="0"/>
        <v>20.16</v>
      </c>
      <c r="H9" s="34">
        <f t="shared" si="3"/>
        <v>0.19699999999999998</v>
      </c>
      <c r="I9" s="34">
        <f t="shared" si="4"/>
        <v>102.33502538071068</v>
      </c>
      <c r="J9" s="34">
        <f t="shared" si="5"/>
        <v>-4.1825095057034245</v>
      </c>
      <c r="K9" s="34">
        <f t="shared" si="6"/>
        <v>-4.182509505703413</v>
      </c>
      <c r="L9" s="34"/>
      <c r="M9" s="34">
        <f t="shared" si="1"/>
        <v>4350071.5200000005</v>
      </c>
      <c r="N9" s="34">
        <f t="shared" si="1"/>
        <v>3358344</v>
      </c>
      <c r="O9" s="34">
        <f t="shared" si="2"/>
        <v>7708415.5200000005</v>
      </c>
      <c r="P9">
        <f t="shared" si="7"/>
        <v>52466.77</v>
      </c>
      <c r="Q9" s="34">
        <f t="shared" si="8"/>
        <v>146.9199556214343</v>
      </c>
      <c r="R9" s="34">
        <f t="shared" si="9"/>
        <v>-5.326305255669828</v>
      </c>
      <c r="S9" s="34">
        <f t="shared" si="10"/>
        <v>-5.326305255669805</v>
      </c>
    </row>
    <row r="10" spans="1:19" x14ac:dyDescent="0.2">
      <c r="A10" s="8">
        <v>42217</v>
      </c>
      <c r="B10" s="34">
        <v>8.1</v>
      </c>
      <c r="C10" s="34">
        <v>11.9</v>
      </c>
      <c r="D10" s="34">
        <v>533097</v>
      </c>
      <c r="E10" s="34">
        <v>279862</v>
      </c>
      <c r="F10" s="34"/>
      <c r="G10" s="34">
        <f>SUM(B10:C10)</f>
        <v>20</v>
      </c>
      <c r="H10" s="34">
        <f t="shared" si="3"/>
        <v>0.19699999999999998</v>
      </c>
      <c r="I10" s="34">
        <f t="shared" si="4"/>
        <v>101.52284263959392</v>
      </c>
      <c r="J10" s="34">
        <f t="shared" si="5"/>
        <v>-0.79365079365080193</v>
      </c>
      <c r="K10" s="34">
        <f t="shared" si="6"/>
        <v>-0.79365079365079083</v>
      </c>
      <c r="L10" s="34"/>
      <c r="M10" s="34">
        <f t="shared" si="1"/>
        <v>4318085.7</v>
      </c>
      <c r="N10" s="34">
        <f t="shared" si="1"/>
        <v>3330357.8000000003</v>
      </c>
      <c r="O10" s="34">
        <f t="shared" si="2"/>
        <v>7648443.5</v>
      </c>
      <c r="P10">
        <f t="shared" si="7"/>
        <v>52466.77</v>
      </c>
      <c r="Q10" s="34">
        <f t="shared" si="8"/>
        <v>145.7769079362042</v>
      </c>
      <c r="R10" s="34">
        <f t="shared" si="9"/>
        <v>-0.77800709944084723</v>
      </c>
      <c r="S10" s="34">
        <f t="shared" si="10"/>
        <v>-0.77800709944084723</v>
      </c>
    </row>
    <row r="11" spans="1:19" x14ac:dyDescent="0.2">
      <c r="A11" s="8">
        <v>42248</v>
      </c>
      <c r="B11" s="34">
        <v>8.1999999999999993</v>
      </c>
      <c r="C11" s="34">
        <v>12.3</v>
      </c>
      <c r="D11" s="34">
        <v>533097</v>
      </c>
      <c r="E11" s="34">
        <v>279862</v>
      </c>
      <c r="F11" s="34"/>
      <c r="G11" s="34">
        <f t="shared" si="0"/>
        <v>20.5</v>
      </c>
      <c r="H11" s="34">
        <f t="shared" si="3"/>
        <v>0.19699999999999998</v>
      </c>
      <c r="I11" s="34">
        <f t="shared" si="4"/>
        <v>104.06091370558377</v>
      </c>
      <c r="J11" s="34">
        <f t="shared" si="5"/>
        <v>2.5000000000000133</v>
      </c>
      <c r="K11" s="34">
        <f t="shared" si="6"/>
        <v>2.4999999999999911</v>
      </c>
      <c r="L11" s="34"/>
      <c r="M11" s="34">
        <f t="shared" si="1"/>
        <v>4371395.3999999994</v>
      </c>
      <c r="N11" s="34">
        <f t="shared" si="1"/>
        <v>3442302.6</v>
      </c>
      <c r="O11" s="34">
        <f t="shared" si="2"/>
        <v>7813698</v>
      </c>
      <c r="P11">
        <f t="shared" si="7"/>
        <v>52466.77</v>
      </c>
      <c r="Q11" s="34">
        <f t="shared" si="8"/>
        <v>148.92660630719217</v>
      </c>
      <c r="R11" s="34">
        <f t="shared" si="9"/>
        <v>2.1606291528466048</v>
      </c>
      <c r="S11" s="34">
        <f t="shared" si="10"/>
        <v>2.1606291528465826</v>
      </c>
    </row>
    <row r="12" spans="1:19" x14ac:dyDescent="0.2">
      <c r="A12" s="8">
        <v>42278</v>
      </c>
      <c r="B12" s="34">
        <v>7.99</v>
      </c>
      <c r="C12" s="34">
        <v>11.71</v>
      </c>
      <c r="D12" s="34">
        <v>533097</v>
      </c>
      <c r="E12" s="34">
        <v>279862</v>
      </c>
      <c r="F12" s="34"/>
      <c r="G12" s="34">
        <f t="shared" si="0"/>
        <v>19.700000000000003</v>
      </c>
      <c r="H12" s="34">
        <f t="shared" si="3"/>
        <v>0.19699999999999998</v>
      </c>
      <c r="I12" s="34">
        <f t="shared" si="4"/>
        <v>100.00000000000003</v>
      </c>
      <c r="J12" s="34">
        <f t="shared" si="5"/>
        <v>-3.9024390243902363</v>
      </c>
      <c r="K12" s="34">
        <f t="shared" si="6"/>
        <v>-3.9024390243902252</v>
      </c>
      <c r="L12" s="34"/>
      <c r="M12" s="34">
        <f t="shared" si="1"/>
        <v>4259445.03</v>
      </c>
      <c r="N12" s="34">
        <f t="shared" si="1"/>
        <v>3277184.02</v>
      </c>
      <c r="O12" s="34">
        <f t="shared" si="2"/>
        <v>7536629.0500000007</v>
      </c>
      <c r="P12">
        <f t="shared" si="7"/>
        <v>52466.77</v>
      </c>
      <c r="Q12" s="34">
        <f t="shared" si="8"/>
        <v>143.64575997340796</v>
      </c>
      <c r="R12" s="34">
        <f t="shared" si="9"/>
        <v>-3.5459388115588686</v>
      </c>
      <c r="S12" s="34">
        <f t="shared" si="10"/>
        <v>-3.5459388115588686</v>
      </c>
    </row>
    <row r="13" spans="1:19" x14ac:dyDescent="0.2">
      <c r="A13" s="8">
        <v>42309</v>
      </c>
      <c r="B13" s="34">
        <v>8.35</v>
      </c>
      <c r="C13" s="34">
        <v>12.95</v>
      </c>
      <c r="D13" s="34">
        <v>533097</v>
      </c>
      <c r="E13" s="34">
        <v>279862</v>
      </c>
      <c r="F13" s="34"/>
      <c r="G13" s="34">
        <f t="shared" si="0"/>
        <v>21.299999999999997</v>
      </c>
      <c r="H13" s="34">
        <f t="shared" si="3"/>
        <v>0.19699999999999998</v>
      </c>
      <c r="I13" s="34">
        <f t="shared" si="4"/>
        <v>108.12182741116752</v>
      </c>
      <c r="J13" s="34">
        <f t="shared" si="5"/>
        <v>8.1218274111674926</v>
      </c>
      <c r="K13" s="34">
        <f t="shared" si="6"/>
        <v>8.1218274111674926</v>
      </c>
      <c r="L13" s="34"/>
      <c r="M13" s="34">
        <f t="shared" si="1"/>
        <v>4451359.95</v>
      </c>
      <c r="N13" s="34">
        <f t="shared" si="1"/>
        <v>3624212.9</v>
      </c>
      <c r="O13" s="34">
        <f t="shared" si="2"/>
        <v>8075572.8499999996</v>
      </c>
      <c r="P13">
        <f t="shared" si="7"/>
        <v>52466.77</v>
      </c>
      <c r="Q13" s="34">
        <f t="shared" si="8"/>
        <v>153.91785791273219</v>
      </c>
      <c r="R13" s="34">
        <f t="shared" si="9"/>
        <v>7.1509927903377069</v>
      </c>
      <c r="S13" s="34">
        <f t="shared" si="10"/>
        <v>7.1509927903377291</v>
      </c>
    </row>
    <row r="14" spans="1:19" x14ac:dyDescent="0.2">
      <c r="A14" s="8">
        <v>42339</v>
      </c>
      <c r="B14" s="34">
        <v>7.35</v>
      </c>
      <c r="C14" s="34">
        <v>14.25</v>
      </c>
      <c r="D14" s="34">
        <v>533097</v>
      </c>
      <c r="E14" s="34">
        <v>279862</v>
      </c>
      <c r="F14" s="34"/>
      <c r="G14" s="34">
        <f t="shared" si="0"/>
        <v>21.6</v>
      </c>
      <c r="H14" s="34">
        <f t="shared" si="3"/>
        <v>0.19699999999999998</v>
      </c>
      <c r="I14" s="34">
        <f t="shared" si="4"/>
        <v>109.64467005076143</v>
      </c>
      <c r="J14" s="34">
        <f t="shared" si="5"/>
        <v>1.4084507042253502</v>
      </c>
      <c r="K14" s="34">
        <f t="shared" si="6"/>
        <v>1.4084507042253724</v>
      </c>
      <c r="L14" s="34"/>
      <c r="M14" s="34">
        <f t="shared" si="1"/>
        <v>3918262.9499999997</v>
      </c>
      <c r="N14" s="34">
        <f t="shared" si="1"/>
        <v>3988033.5</v>
      </c>
      <c r="O14" s="34">
        <f t="shared" si="2"/>
        <v>7906296.4499999993</v>
      </c>
      <c r="P14">
        <f t="shared" si="7"/>
        <v>52466.77</v>
      </c>
      <c r="Q14" s="34">
        <f t="shared" si="8"/>
        <v>150.69150340301107</v>
      </c>
      <c r="R14" s="34">
        <f t="shared" si="9"/>
        <v>-2.0961534635899004</v>
      </c>
      <c r="S14" s="34">
        <f t="shared" si="10"/>
        <v>-2.0961534635899004</v>
      </c>
    </row>
    <row r="15" spans="1:19" x14ac:dyDescent="0.2">
      <c r="A15" s="8">
        <v>42370</v>
      </c>
      <c r="B15" s="34">
        <v>6.85</v>
      </c>
      <c r="C15" s="34">
        <v>12.75</v>
      </c>
      <c r="D15" s="34">
        <v>533097</v>
      </c>
      <c r="E15" s="34">
        <v>279862</v>
      </c>
      <c r="F15" s="34"/>
      <c r="G15" s="34">
        <f t="shared" si="0"/>
        <v>19.600000000000001</v>
      </c>
      <c r="H15" s="34">
        <f t="shared" si="3"/>
        <v>0.19699999999999998</v>
      </c>
      <c r="I15" s="34">
        <f t="shared" si="4"/>
        <v>99.492385786802046</v>
      </c>
      <c r="J15" s="34">
        <f t="shared" si="5"/>
        <v>-9.259259259259256</v>
      </c>
      <c r="K15" s="34">
        <f t="shared" si="6"/>
        <v>-9.259259259259256</v>
      </c>
      <c r="L15" s="34"/>
      <c r="M15" s="34">
        <f t="shared" si="1"/>
        <v>3651714.4499999997</v>
      </c>
      <c r="N15" s="34">
        <f t="shared" si="1"/>
        <v>3568240.5</v>
      </c>
      <c r="O15" s="34">
        <f t="shared" si="2"/>
        <v>7219954.9499999993</v>
      </c>
      <c r="P15">
        <f t="shared" si="7"/>
        <v>52466.77</v>
      </c>
      <c r="Q15" s="34">
        <f t="shared" si="8"/>
        <v>137.61005203865227</v>
      </c>
      <c r="R15" s="34">
        <f t="shared" si="9"/>
        <v>-8.6809482080576377</v>
      </c>
      <c r="S15" s="34">
        <f t="shared" si="10"/>
        <v>-8.6809482080576483</v>
      </c>
    </row>
    <row r="16" spans="1:19" x14ac:dyDescent="0.2">
      <c r="A16" s="8">
        <v>42401</v>
      </c>
      <c r="B16" s="34">
        <v>6.45</v>
      </c>
      <c r="C16" s="34">
        <v>12.45</v>
      </c>
      <c r="D16" s="34">
        <v>533097</v>
      </c>
      <c r="E16" s="34">
        <v>279862</v>
      </c>
      <c r="F16" s="34"/>
      <c r="G16" s="34">
        <f t="shared" si="0"/>
        <v>18.899999999999999</v>
      </c>
      <c r="H16" s="34">
        <f t="shared" si="3"/>
        <v>0.19699999999999998</v>
      </c>
      <c r="I16" s="34">
        <f t="shared" si="4"/>
        <v>95.939086294416242</v>
      </c>
      <c r="J16" s="34">
        <f t="shared" si="5"/>
        <v>-3.571428571428592</v>
      </c>
      <c r="K16" s="34">
        <f t="shared" si="6"/>
        <v>-3.5714285714285809</v>
      </c>
      <c r="L16" s="34"/>
      <c r="M16" s="34">
        <f t="shared" si="1"/>
        <v>3438475.65</v>
      </c>
      <c r="N16" s="34">
        <f t="shared" si="1"/>
        <v>3484281.9</v>
      </c>
      <c r="O16" s="34">
        <f t="shared" si="2"/>
        <v>6922757.5499999998</v>
      </c>
      <c r="P16">
        <f t="shared" si="7"/>
        <v>52466.77</v>
      </c>
      <c r="Q16" s="34">
        <f t="shared" si="8"/>
        <v>131.945563830211</v>
      </c>
      <c r="R16" s="34">
        <f t="shared" si="9"/>
        <v>-4.1163331635469591</v>
      </c>
      <c r="S16" s="34">
        <f t="shared" si="10"/>
        <v>-4.1163331635469476</v>
      </c>
    </row>
    <row r="17" spans="1:19" x14ac:dyDescent="0.2">
      <c r="A17" s="8">
        <v>42430</v>
      </c>
      <c r="B17" s="34">
        <v>6.44</v>
      </c>
      <c r="C17" s="34">
        <v>12</v>
      </c>
      <c r="D17" s="34">
        <v>710632</v>
      </c>
      <c r="E17" s="34">
        <v>350465</v>
      </c>
      <c r="F17" s="34"/>
      <c r="G17" s="34">
        <f t="shared" si="0"/>
        <v>18.440000000000001</v>
      </c>
      <c r="H17" s="34">
        <f t="shared" si="3"/>
        <v>0.19699999999999998</v>
      </c>
      <c r="I17" s="34">
        <f t="shared" si="4"/>
        <v>93.604060913705595</v>
      </c>
      <c r="J17" s="34">
        <f t="shared" si="5"/>
        <v>-2.4338624338624215</v>
      </c>
      <c r="K17" s="34">
        <f t="shared" si="6"/>
        <v>-2.4338624338624215</v>
      </c>
      <c r="L17" s="34"/>
      <c r="M17" s="34">
        <f t="shared" si="1"/>
        <v>4576470.08</v>
      </c>
      <c r="N17" s="34">
        <f t="shared" si="1"/>
        <v>4205580</v>
      </c>
      <c r="O17" s="34">
        <f t="shared" si="2"/>
        <v>8782050.0800000001</v>
      </c>
      <c r="P17">
        <f t="shared" si="7"/>
        <v>52466.77</v>
      </c>
      <c r="Q17" s="34">
        <f t="shared" si="8"/>
        <v>167.38308990623972</v>
      </c>
      <c r="R17" s="34">
        <f t="shared" si="9"/>
        <v>26.857686645403334</v>
      </c>
      <c r="S17" s="34">
        <f t="shared" si="10"/>
        <v>26.857686645403334</v>
      </c>
    </row>
    <row r="18" spans="1:19" x14ac:dyDescent="0.2">
      <c r="A18" s="8">
        <v>42461</v>
      </c>
      <c r="B18" s="34">
        <v>6.5</v>
      </c>
      <c r="C18" s="34">
        <v>12.2</v>
      </c>
      <c r="D18" s="34">
        <v>710632</v>
      </c>
      <c r="E18" s="34">
        <v>350465</v>
      </c>
      <c r="F18" s="34"/>
      <c r="G18" s="34">
        <f t="shared" si="0"/>
        <v>18.7</v>
      </c>
      <c r="H18" s="34">
        <f t="shared" si="3"/>
        <v>0.19699999999999998</v>
      </c>
      <c r="I18" s="34">
        <f t="shared" si="4"/>
        <v>94.923857868020306</v>
      </c>
      <c r="J18" s="34">
        <f t="shared" si="5"/>
        <v>1.4099783080260275</v>
      </c>
      <c r="K18" s="34">
        <f t="shared" si="6"/>
        <v>1.4099783080260275</v>
      </c>
      <c r="L18" s="34"/>
      <c r="M18" s="34">
        <f t="shared" si="1"/>
        <v>4619108</v>
      </c>
      <c r="N18" s="34">
        <f t="shared" si="1"/>
        <v>4275673</v>
      </c>
      <c r="O18" s="34">
        <f t="shared" si="2"/>
        <v>8894781</v>
      </c>
      <c r="P18">
        <f t="shared" si="7"/>
        <v>52466.77</v>
      </c>
      <c r="Q18" s="34">
        <f t="shared" si="8"/>
        <v>169.53170549664102</v>
      </c>
      <c r="R18" s="34">
        <f t="shared" si="9"/>
        <v>1.2836515275257865</v>
      </c>
      <c r="S18" s="34">
        <f t="shared" si="10"/>
        <v>1.2836515275257865</v>
      </c>
    </row>
    <row r="19" spans="1:19" x14ac:dyDescent="0.2">
      <c r="A19" s="8">
        <v>42491</v>
      </c>
      <c r="B19" s="34">
        <v>6.75</v>
      </c>
      <c r="C19" s="34">
        <v>13</v>
      </c>
      <c r="D19" s="34">
        <v>710632</v>
      </c>
      <c r="E19" s="34">
        <v>350465</v>
      </c>
      <c r="F19" s="34"/>
      <c r="G19" s="34">
        <f t="shared" si="0"/>
        <v>19.75</v>
      </c>
      <c r="H19" s="34">
        <f t="shared" si="3"/>
        <v>0.19699999999999998</v>
      </c>
      <c r="I19" s="34">
        <f t="shared" si="4"/>
        <v>100.253807106599</v>
      </c>
      <c r="J19" s="34">
        <f t="shared" si="5"/>
        <v>5.614973262032108</v>
      </c>
      <c r="K19" s="34">
        <f t="shared" si="6"/>
        <v>5.6149732620320858</v>
      </c>
      <c r="L19" s="34"/>
      <c r="M19" s="34">
        <f t="shared" si="1"/>
        <v>4796766</v>
      </c>
      <c r="N19" s="34">
        <f t="shared" si="1"/>
        <v>4556045</v>
      </c>
      <c r="O19" s="34">
        <f t="shared" si="2"/>
        <v>9352811</v>
      </c>
      <c r="P19">
        <f t="shared" si="7"/>
        <v>52466.77</v>
      </c>
      <c r="Q19" s="34">
        <f t="shared" si="8"/>
        <v>178.26161206416938</v>
      </c>
      <c r="R19" s="34">
        <f t="shared" si="9"/>
        <v>5.1494241398410967</v>
      </c>
      <c r="S19" s="34">
        <f t="shared" si="10"/>
        <v>5.1494241398410967</v>
      </c>
    </row>
    <row r="20" spans="1:19" x14ac:dyDescent="0.2">
      <c r="A20" s="8">
        <v>42522</v>
      </c>
      <c r="B20" s="34">
        <v>7.24</v>
      </c>
      <c r="C20" s="34">
        <v>13.5</v>
      </c>
      <c r="D20" s="34">
        <v>710632</v>
      </c>
      <c r="E20" s="34">
        <v>350465</v>
      </c>
      <c r="F20" s="34"/>
      <c r="G20" s="34">
        <f t="shared" si="0"/>
        <v>20.740000000000002</v>
      </c>
      <c r="H20" s="34">
        <f t="shared" si="3"/>
        <v>0.19699999999999998</v>
      </c>
      <c r="I20" s="34">
        <f t="shared" si="4"/>
        <v>105.2791878172589</v>
      </c>
      <c r="J20" s="34">
        <f t="shared" si="5"/>
        <v>5.0126582278481102</v>
      </c>
      <c r="K20" s="34">
        <f t="shared" si="6"/>
        <v>5.0126582278481102</v>
      </c>
      <c r="L20" s="34"/>
      <c r="M20" s="34">
        <f t="shared" si="1"/>
        <v>5144975.68</v>
      </c>
      <c r="N20" s="34">
        <f t="shared" si="1"/>
        <v>4731277.5</v>
      </c>
      <c r="O20" s="34">
        <f t="shared" si="2"/>
        <v>9876253.1799999997</v>
      </c>
      <c r="P20">
        <f t="shared" si="7"/>
        <v>52466.77</v>
      </c>
      <c r="Q20" s="34">
        <f t="shared" si="8"/>
        <v>188.23825404155812</v>
      </c>
      <c r="R20" s="34">
        <f t="shared" si="9"/>
        <v>5.5966295052899184</v>
      </c>
      <c r="S20" s="34">
        <f t="shared" si="10"/>
        <v>5.5966295052898962</v>
      </c>
    </row>
    <row r="21" spans="1:19" x14ac:dyDescent="0.2">
      <c r="A21" s="8">
        <v>42552</v>
      </c>
      <c r="B21" s="34">
        <v>6.51</v>
      </c>
      <c r="C21" s="34">
        <v>14.25</v>
      </c>
      <c r="D21" s="34">
        <v>710632</v>
      </c>
      <c r="E21" s="34">
        <v>350465</v>
      </c>
      <c r="F21" s="34"/>
      <c r="G21" s="34">
        <f t="shared" si="0"/>
        <v>20.759999999999998</v>
      </c>
      <c r="H21" s="34">
        <f t="shared" si="3"/>
        <v>0.19699999999999998</v>
      </c>
      <c r="I21" s="34">
        <f t="shared" si="4"/>
        <v>105.38071065989848</v>
      </c>
      <c r="J21" s="34">
        <f t="shared" si="5"/>
        <v>9.643201542910429E-2</v>
      </c>
      <c r="K21" s="34">
        <f t="shared" si="6"/>
        <v>9.643201542910429E-2</v>
      </c>
      <c r="L21" s="34"/>
      <c r="M21" s="34">
        <f t="shared" si="1"/>
        <v>4626214.32</v>
      </c>
      <c r="N21" s="34">
        <f t="shared" si="1"/>
        <v>4994126.25</v>
      </c>
      <c r="O21" s="34">
        <f t="shared" si="2"/>
        <v>9620340.5700000003</v>
      </c>
      <c r="P21">
        <f t="shared" si="7"/>
        <v>52466.77</v>
      </c>
      <c r="Q21" s="34">
        <f t="shared" si="8"/>
        <v>183.36064083990686</v>
      </c>
      <c r="R21" s="34">
        <f t="shared" si="9"/>
        <v>-2.5911912679419613</v>
      </c>
      <c r="S21" s="34">
        <f t="shared" si="10"/>
        <v>-2.5911912679419502</v>
      </c>
    </row>
    <row r="22" spans="1:19" x14ac:dyDescent="0.2">
      <c r="A22" s="8">
        <v>42583</v>
      </c>
      <c r="B22" s="34">
        <v>6.7</v>
      </c>
      <c r="C22" s="34">
        <v>14.5</v>
      </c>
      <c r="D22" s="34">
        <v>710632</v>
      </c>
      <c r="E22" s="34">
        <v>350465</v>
      </c>
      <c r="F22" s="34"/>
      <c r="G22" s="34">
        <f t="shared" si="0"/>
        <v>21.2</v>
      </c>
      <c r="H22" s="34">
        <f t="shared" si="3"/>
        <v>0.19699999999999998</v>
      </c>
      <c r="I22" s="34">
        <f t="shared" si="4"/>
        <v>107.61421319796955</v>
      </c>
      <c r="J22" s="34">
        <f t="shared" si="5"/>
        <v>2.1194605009633882</v>
      </c>
      <c r="K22" s="34">
        <f t="shared" si="6"/>
        <v>2.1194605009633882</v>
      </c>
      <c r="L22" s="34"/>
      <c r="M22" s="34">
        <f t="shared" si="1"/>
        <v>4761234.4000000004</v>
      </c>
      <c r="N22" s="34">
        <f t="shared" si="1"/>
        <v>5081742.5</v>
      </c>
      <c r="O22" s="34">
        <f t="shared" si="2"/>
        <v>9842976.9000000004</v>
      </c>
      <c r="P22">
        <f t="shared" si="7"/>
        <v>52466.77</v>
      </c>
      <c r="Q22" s="34">
        <f t="shared" si="8"/>
        <v>187.60401869602418</v>
      </c>
      <c r="R22" s="34">
        <f t="shared" si="9"/>
        <v>2.3142250357983007</v>
      </c>
      <c r="S22" s="34">
        <f t="shared" si="10"/>
        <v>2.3142250357983007</v>
      </c>
    </row>
    <row r="23" spans="1:19" x14ac:dyDescent="0.2">
      <c r="A23" s="8">
        <v>42614</v>
      </c>
      <c r="B23" s="34">
        <v>6.7</v>
      </c>
      <c r="C23" s="34">
        <v>14.75</v>
      </c>
      <c r="D23" s="34">
        <v>710632</v>
      </c>
      <c r="E23" s="34">
        <v>350465</v>
      </c>
      <c r="F23" s="34"/>
      <c r="G23" s="34">
        <f t="shared" si="0"/>
        <v>21.45</v>
      </c>
      <c r="H23" s="34">
        <f t="shared" si="3"/>
        <v>0.19699999999999998</v>
      </c>
      <c r="I23" s="34">
        <f t="shared" si="4"/>
        <v>108.88324873096447</v>
      </c>
      <c r="J23" s="34">
        <f t="shared" si="5"/>
        <v>1.1792452830188704</v>
      </c>
      <c r="K23" s="34">
        <f t="shared" si="6"/>
        <v>1.1792452830188704</v>
      </c>
      <c r="L23" s="34"/>
      <c r="M23" s="34">
        <f t="shared" si="1"/>
        <v>4761234.4000000004</v>
      </c>
      <c r="N23" s="34">
        <f t="shared" si="1"/>
        <v>5169358.75</v>
      </c>
      <c r="O23" s="34">
        <f t="shared" si="2"/>
        <v>9930593.1500000004</v>
      </c>
      <c r="P23">
        <f t="shared" si="7"/>
        <v>52466.77</v>
      </c>
      <c r="Q23" s="34">
        <f t="shared" si="8"/>
        <v>189.27395663960257</v>
      </c>
      <c r="R23" s="34">
        <f t="shared" si="9"/>
        <v>0.89013975030258763</v>
      </c>
      <c r="S23" s="34">
        <f t="shared" si="10"/>
        <v>0.89013975030256542</v>
      </c>
    </row>
    <row r="24" spans="1:19" x14ac:dyDescent="0.2">
      <c r="A24" s="8">
        <v>42644</v>
      </c>
      <c r="B24" s="34">
        <v>7.7</v>
      </c>
      <c r="C24" s="34">
        <v>14.6</v>
      </c>
      <c r="D24" s="34">
        <v>710632</v>
      </c>
      <c r="E24" s="34">
        <v>350465</v>
      </c>
      <c r="F24" s="34"/>
      <c r="G24" s="34">
        <f t="shared" si="0"/>
        <v>22.3</v>
      </c>
      <c r="H24" s="34">
        <f t="shared" si="3"/>
        <v>0.19699999999999998</v>
      </c>
      <c r="I24" s="34">
        <f t="shared" si="4"/>
        <v>113.19796954314722</v>
      </c>
      <c r="J24" s="34">
        <f t="shared" si="5"/>
        <v>3.9627039627039728</v>
      </c>
      <c r="K24" s="34">
        <f t="shared" si="6"/>
        <v>3.9627039627039728</v>
      </c>
      <c r="L24" s="34"/>
      <c r="M24" s="34">
        <f t="shared" si="1"/>
        <v>5471866.4000000004</v>
      </c>
      <c r="N24" s="34">
        <f t="shared" si="1"/>
        <v>5116789</v>
      </c>
      <c r="O24" s="34">
        <f t="shared" si="2"/>
        <v>10588655.4</v>
      </c>
      <c r="P24">
        <f t="shared" si="7"/>
        <v>52466.77</v>
      </c>
      <c r="Q24" s="34">
        <f t="shared" si="8"/>
        <v>201.81641446576569</v>
      </c>
      <c r="R24" s="34">
        <f t="shared" si="9"/>
        <v>6.6266157525545211</v>
      </c>
      <c r="S24" s="34">
        <f t="shared" si="10"/>
        <v>6.6266157525545211</v>
      </c>
    </row>
    <row r="25" spans="1:19" x14ac:dyDescent="0.2">
      <c r="A25" s="8">
        <v>42675</v>
      </c>
      <c r="B25" s="34">
        <v>7.69</v>
      </c>
      <c r="C25" s="34">
        <v>15.54</v>
      </c>
      <c r="D25" s="34">
        <v>710632</v>
      </c>
      <c r="E25" s="34">
        <v>350465</v>
      </c>
      <c r="F25" s="34"/>
      <c r="G25" s="34">
        <f t="shared" si="0"/>
        <v>23.23</v>
      </c>
      <c r="H25" s="34">
        <f t="shared" si="3"/>
        <v>0.19699999999999998</v>
      </c>
      <c r="I25" s="34">
        <f t="shared" si="4"/>
        <v>117.91878172588834</v>
      </c>
      <c r="J25" s="34">
        <f t="shared" si="5"/>
        <v>4.1704035874439382</v>
      </c>
      <c r="K25" s="34">
        <f t="shared" si="6"/>
        <v>4.1704035874439382</v>
      </c>
      <c r="L25" s="34"/>
      <c r="M25" s="34">
        <f t="shared" si="1"/>
        <v>5464760.0800000001</v>
      </c>
      <c r="N25" s="34">
        <f t="shared" si="1"/>
        <v>5446226.0999999996</v>
      </c>
      <c r="O25" s="34">
        <f t="shared" si="2"/>
        <v>10910986.18</v>
      </c>
      <c r="P25">
        <f t="shared" si="7"/>
        <v>52466.77</v>
      </c>
      <c r="Q25" s="34">
        <f t="shared" si="8"/>
        <v>207.9599369276973</v>
      </c>
      <c r="R25" s="34">
        <f t="shared" si="9"/>
        <v>3.0441143641335211</v>
      </c>
      <c r="S25" s="34">
        <f t="shared" si="10"/>
        <v>3.0441143641335211</v>
      </c>
    </row>
    <row r="26" spans="1:19" x14ac:dyDescent="0.2">
      <c r="A26" s="8">
        <v>42705</v>
      </c>
      <c r="B26" s="34">
        <v>7.72</v>
      </c>
      <c r="C26" s="34">
        <v>14.65</v>
      </c>
      <c r="D26" s="34">
        <v>710632</v>
      </c>
      <c r="E26" s="34">
        <v>350465</v>
      </c>
      <c r="F26" s="34"/>
      <c r="G26" s="34">
        <f t="shared" si="0"/>
        <v>22.37</v>
      </c>
      <c r="H26" s="34">
        <f t="shared" si="3"/>
        <v>0.19699999999999998</v>
      </c>
      <c r="I26" s="34">
        <f t="shared" si="4"/>
        <v>113.5532994923858</v>
      </c>
      <c r="J26" s="34">
        <f t="shared" si="5"/>
        <v>-3.7021093413689199</v>
      </c>
      <c r="K26" s="34">
        <f t="shared" si="6"/>
        <v>-3.7021093413689199</v>
      </c>
      <c r="L26" s="34"/>
      <c r="M26" s="34">
        <f t="shared" si="1"/>
        <v>5486079.04</v>
      </c>
      <c r="N26" s="34">
        <f t="shared" si="1"/>
        <v>5134312.25</v>
      </c>
      <c r="O26" s="34">
        <f t="shared" si="2"/>
        <v>10620391.289999999</v>
      </c>
      <c r="P26">
        <f t="shared" si="7"/>
        <v>52466.77</v>
      </c>
      <c r="Q26" s="34">
        <f t="shared" si="8"/>
        <v>202.42129046632755</v>
      </c>
      <c r="R26" s="34">
        <f t="shared" si="9"/>
        <v>-2.6633237839918222</v>
      </c>
      <c r="S26" s="34">
        <f t="shared" si="10"/>
        <v>-2.6633237839918222</v>
      </c>
    </row>
  </sheetData>
  <mergeCells count="3">
    <mergeCell ref="B1:C1"/>
    <mergeCell ref="D1:E1"/>
    <mergeCell ref="M1:N1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2A75B-3667-4AFE-AA16-5558E2033079}">
  <dimension ref="C1:S88"/>
  <sheetViews>
    <sheetView zoomScale="70" zoomScaleNormal="70" workbookViewId="0">
      <pane xSplit="3" ySplit="2" topLeftCell="D7" activePane="bottomRight" state="frozen"/>
      <selection pane="topRight" activeCell="D1" sqref="D1"/>
      <selection pane="bottomLeft" activeCell="A3" sqref="A3"/>
      <selection pane="bottomRight" activeCell="K23" sqref="K23"/>
    </sheetView>
  </sheetViews>
  <sheetFormatPr baseColWidth="10" defaultColWidth="8.83203125" defaultRowHeight="15" x14ac:dyDescent="0.2"/>
  <cols>
    <col min="3" max="3" width="11.33203125" bestFit="1" customWidth="1"/>
    <col min="4" max="4" width="35" style="1" customWidth="1"/>
    <col min="5" max="5" width="17.33203125" style="1" bestFit="1" customWidth="1"/>
    <col min="6" max="6" width="24.5" style="1" customWidth="1"/>
    <col min="7" max="7" width="15.83203125" style="1" customWidth="1"/>
    <col min="8" max="8" width="13.5" style="1" customWidth="1"/>
    <col min="9" max="9" width="12.6640625" style="1" bestFit="1" customWidth="1"/>
    <col min="10" max="10" width="14.33203125" style="1" customWidth="1"/>
    <col min="11" max="11" width="14.1640625" style="1" customWidth="1"/>
    <col min="12" max="12" width="8.83203125" style="1"/>
    <col min="14" max="14" width="15.6640625" bestFit="1" customWidth="1"/>
    <col min="15" max="15" width="12.6640625" bestFit="1" customWidth="1"/>
    <col min="18" max="18" width="15.6640625" bestFit="1" customWidth="1"/>
  </cols>
  <sheetData>
    <row r="1" spans="3:19" x14ac:dyDescent="0.2">
      <c r="G1" s="81" t="s">
        <v>0</v>
      </c>
      <c r="H1" s="81"/>
      <c r="I1" s="2"/>
      <c r="J1" s="3" t="s">
        <v>1</v>
      </c>
      <c r="K1" s="4"/>
    </row>
    <row r="2" spans="3:19" ht="17" x14ac:dyDescent="0.2">
      <c r="C2" s="5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7"/>
      <c r="J2" s="7" t="s">
        <v>8</v>
      </c>
      <c r="K2" s="7"/>
    </row>
    <row r="3" spans="3:19" x14ac:dyDescent="0.2">
      <c r="C3" s="8">
        <v>42736</v>
      </c>
      <c r="D3" s="1">
        <v>2103.14</v>
      </c>
      <c r="F3" s="9"/>
      <c r="G3" s="10"/>
      <c r="H3" s="10"/>
      <c r="J3" s="10"/>
    </row>
    <row r="4" spans="3:19" x14ac:dyDescent="0.2">
      <c r="C4" s="8">
        <v>42767</v>
      </c>
      <c r="D4" s="1">
        <v>2126.4299999999998</v>
      </c>
      <c r="E4" s="11">
        <f>(D4/D3-1)*100</f>
        <v>1.1073918046349718</v>
      </c>
      <c r="F4" s="9">
        <f>E4-$E$53</f>
        <v>2.1730831144088523</v>
      </c>
      <c r="G4" s="11">
        <f>F4/$E$54</f>
        <v>0.28355114512294494</v>
      </c>
      <c r="H4" s="11">
        <f t="shared" ref="H4:H50" si="0">G4^3</f>
        <v>2.2797867045714591E-2</v>
      </c>
      <c r="I4" s="11"/>
      <c r="J4" s="11">
        <f>G4^4</f>
        <v>6.4643613071730223E-3</v>
      </c>
      <c r="K4" s="11"/>
      <c r="L4" s="11"/>
      <c r="M4" s="12"/>
    </row>
    <row r="5" spans="3:19" x14ac:dyDescent="0.2">
      <c r="C5" s="8">
        <v>42795</v>
      </c>
      <c r="D5" s="1">
        <v>2129.35</v>
      </c>
      <c r="E5" s="11">
        <f t="shared" ref="E5:E50" si="1">(D5/D4-1)*100</f>
        <v>0.13731935685632468</v>
      </c>
      <c r="F5" s="9">
        <f t="shared" ref="F5:F50" si="2">E5-$E$53</f>
        <v>1.2030106666302052</v>
      </c>
      <c r="G5" s="11">
        <f t="shared" ref="G5:G50" si="3">F5/$E$54</f>
        <v>0.15697285108715511</v>
      </c>
      <c r="H5" s="11">
        <f t="shared" si="0"/>
        <v>3.8678857664787426E-3</v>
      </c>
      <c r="I5" s="11"/>
      <c r="J5" s="11">
        <f t="shared" ref="J5:J48" si="4">G5^4</f>
        <v>6.0715305644359451E-4</v>
      </c>
      <c r="K5" s="11"/>
      <c r="L5" s="11"/>
      <c r="M5" s="12"/>
    </row>
    <row r="6" spans="3:19" x14ac:dyDescent="0.2">
      <c r="C6" s="8">
        <v>42826</v>
      </c>
      <c r="D6" s="1">
        <v>2137.19</v>
      </c>
      <c r="E6" s="11">
        <f t="shared" si="1"/>
        <v>0.36818747505107385</v>
      </c>
      <c r="F6" s="9">
        <f t="shared" si="2"/>
        <v>1.4338787848249543</v>
      </c>
      <c r="G6" s="11">
        <f t="shared" si="3"/>
        <v>0.18709729448853349</v>
      </c>
      <c r="H6" s="11">
        <f t="shared" si="0"/>
        <v>6.5494151843776107E-3</v>
      </c>
      <c r="I6" s="11"/>
      <c r="J6" s="11">
        <f t="shared" si="4"/>
        <v>1.2253778614791707E-3</v>
      </c>
      <c r="K6" s="11"/>
      <c r="L6" s="11"/>
      <c r="M6" s="12"/>
    </row>
    <row r="7" spans="3:19" x14ac:dyDescent="0.2">
      <c r="C7" s="8">
        <v>42856</v>
      </c>
      <c r="D7" s="1">
        <v>2142.63</v>
      </c>
      <c r="E7" s="11">
        <f t="shared" si="1"/>
        <v>0.2545398396960552</v>
      </c>
      <c r="F7" s="9">
        <f t="shared" si="2"/>
        <v>1.3202311494699357</v>
      </c>
      <c r="G7" s="11">
        <f t="shared" si="3"/>
        <v>0.17226817132625782</v>
      </c>
      <c r="H7" s="11">
        <f t="shared" si="0"/>
        <v>5.1122858694176831E-3</v>
      </c>
      <c r="I7" s="11"/>
      <c r="J7" s="11">
        <f t="shared" si="4"/>
        <v>8.8068413802165233E-4</v>
      </c>
      <c r="K7" s="11"/>
      <c r="L7" s="11"/>
      <c r="M7" s="12"/>
    </row>
    <row r="8" spans="3:19" x14ac:dyDescent="0.2">
      <c r="C8" s="8">
        <v>42887</v>
      </c>
      <c r="D8" s="1">
        <v>2154.59</v>
      </c>
      <c r="E8" s="11">
        <f t="shared" si="1"/>
        <v>0.5581925017385192</v>
      </c>
      <c r="F8" s="9">
        <f t="shared" si="2"/>
        <v>1.6238838115123997</v>
      </c>
      <c r="G8" s="11">
        <f t="shared" si="3"/>
        <v>0.21188978518486695</v>
      </c>
      <c r="H8" s="11">
        <f t="shared" si="0"/>
        <v>9.5132752403934498E-3</v>
      </c>
      <c r="I8" s="11"/>
      <c r="J8" s="11">
        <f t="shared" si="4"/>
        <v>2.0157658470914817E-3</v>
      </c>
      <c r="K8" s="11"/>
      <c r="L8" s="11"/>
      <c r="M8" s="12"/>
      <c r="N8" s="13"/>
      <c r="O8" s="13"/>
    </row>
    <row r="9" spans="3:19" x14ac:dyDescent="0.2">
      <c r="C9" s="8">
        <v>42917</v>
      </c>
      <c r="D9" s="1">
        <v>2156.1999999999998</v>
      </c>
      <c r="E9" s="11">
        <f t="shared" si="1"/>
        <v>7.4724193466035871E-2</v>
      </c>
      <c r="F9" s="9">
        <f t="shared" si="2"/>
        <v>1.1404155032399164</v>
      </c>
      <c r="G9" s="11">
        <f t="shared" si="3"/>
        <v>0.14880522503512419</v>
      </c>
      <c r="H9" s="11">
        <f t="shared" si="0"/>
        <v>3.2949933535924062E-3</v>
      </c>
      <c r="I9" s="11"/>
      <c r="J9" s="11">
        <f t="shared" si="4"/>
        <v>4.9031222747055651E-4</v>
      </c>
      <c r="K9" s="11"/>
      <c r="L9" s="11"/>
      <c r="M9" s="12"/>
    </row>
    <row r="10" spans="3:19" x14ac:dyDescent="0.2">
      <c r="C10" s="8">
        <v>42948</v>
      </c>
      <c r="D10" s="1">
        <v>2235.7600000000002</v>
      </c>
      <c r="E10" s="11">
        <f t="shared" si="1"/>
        <v>3.6898246915870736</v>
      </c>
      <c r="F10" s="9">
        <f t="shared" si="2"/>
        <v>4.7555160013609541</v>
      </c>
      <c r="G10" s="11">
        <f t="shared" si="3"/>
        <v>0.62051561622078266</v>
      </c>
      <c r="H10" s="11">
        <f t="shared" si="0"/>
        <v>0.23892310326265043</v>
      </c>
      <c r="I10" s="11"/>
      <c r="J10" s="11">
        <f t="shared" si="4"/>
        <v>0.14825551665040523</v>
      </c>
      <c r="K10" s="11"/>
      <c r="L10" s="11"/>
      <c r="M10" s="12"/>
    </row>
    <row r="11" spans="3:19" x14ac:dyDescent="0.2">
      <c r="C11" s="8">
        <v>42979</v>
      </c>
      <c r="D11" s="1">
        <v>2258.9899999999998</v>
      </c>
      <c r="E11" s="11">
        <f t="shared" si="1"/>
        <v>1.0390202884030364</v>
      </c>
      <c r="F11" s="9">
        <f t="shared" si="2"/>
        <v>2.1047115981769169</v>
      </c>
      <c r="G11" s="11">
        <f t="shared" si="3"/>
        <v>0.27462980125311731</v>
      </c>
      <c r="H11" s="11">
        <f t="shared" si="0"/>
        <v>2.0712999172433879E-2</v>
      </c>
      <c r="I11" s="11"/>
      <c r="J11" s="11">
        <f t="shared" si="4"/>
        <v>5.6884068460814992E-3</v>
      </c>
      <c r="K11" s="11"/>
      <c r="L11" s="11"/>
      <c r="M11" s="12"/>
      <c r="N11" s="13"/>
      <c r="O11" s="13"/>
    </row>
    <row r="12" spans="3:19" x14ac:dyDescent="0.2">
      <c r="C12" s="8">
        <v>43009</v>
      </c>
      <c r="D12" s="1">
        <v>2275.65</v>
      </c>
      <c r="E12" s="11">
        <f t="shared" si="1"/>
        <v>0.73749773128699569</v>
      </c>
      <c r="F12" s="9">
        <f t="shared" si="2"/>
        <v>1.8031890410608762</v>
      </c>
      <c r="G12" s="11">
        <f t="shared" si="3"/>
        <v>0.23528613060207099</v>
      </c>
      <c r="H12" s="11">
        <f t="shared" si="0"/>
        <v>1.3025337429782445E-2</v>
      </c>
      <c r="I12" s="11"/>
      <c r="J12" s="11">
        <f t="shared" si="4"/>
        <v>3.0646812436398358E-3</v>
      </c>
      <c r="K12" s="11"/>
      <c r="L12" s="11"/>
      <c r="M12" s="12"/>
    </row>
    <row r="13" spans="3:19" x14ac:dyDescent="0.2">
      <c r="C13" s="8">
        <v>43040</v>
      </c>
      <c r="D13" s="1">
        <v>2341.5700000000002</v>
      </c>
      <c r="E13" s="11">
        <f t="shared" si="1"/>
        <v>2.8967547733614651</v>
      </c>
      <c r="F13" s="9">
        <f t="shared" si="2"/>
        <v>3.9624460831353456</v>
      </c>
      <c r="G13" s="11">
        <f t="shared" si="3"/>
        <v>0.51703320361338234</v>
      </c>
      <c r="H13" s="11">
        <f t="shared" si="0"/>
        <v>0.13821503959183506</v>
      </c>
      <c r="I13" s="11"/>
      <c r="J13" s="11">
        <f t="shared" si="4"/>
        <v>7.1461764707716965E-2</v>
      </c>
      <c r="K13" s="11"/>
      <c r="L13" s="11"/>
      <c r="M13" s="12"/>
    </row>
    <row r="14" spans="3:19" x14ac:dyDescent="0.2">
      <c r="C14" s="8">
        <v>43070</v>
      </c>
      <c r="D14" s="1">
        <v>2357.84</v>
      </c>
      <c r="E14" s="11">
        <f t="shared" si="1"/>
        <v>0.69483295395824651</v>
      </c>
      <c r="F14" s="9">
        <f t="shared" si="2"/>
        <v>1.760524263732127</v>
      </c>
      <c r="G14" s="11">
        <f t="shared" si="3"/>
        <v>0.22971908791154175</v>
      </c>
      <c r="H14" s="11">
        <f t="shared" si="0"/>
        <v>1.2122473678399448E-2</v>
      </c>
      <c r="I14" s="11"/>
      <c r="J14" s="11">
        <f t="shared" si="4"/>
        <v>2.7847635966335932E-3</v>
      </c>
      <c r="K14" s="11"/>
      <c r="L14" s="11"/>
      <c r="M14" s="12"/>
      <c r="R14" s="13"/>
      <c r="S14" s="13"/>
    </row>
    <row r="15" spans="3:19" x14ac:dyDescent="0.2">
      <c r="C15" s="8">
        <v>43101</v>
      </c>
      <c r="D15" s="1">
        <v>2463.85</v>
      </c>
      <c r="E15" s="11">
        <f t="shared" si="1"/>
        <v>4.49606419434736</v>
      </c>
      <c r="F15" s="9">
        <f t="shared" si="2"/>
        <v>5.5617555041212405</v>
      </c>
      <c r="G15" s="11">
        <f t="shared" si="3"/>
        <v>0.72571644021836001</v>
      </c>
      <c r="H15" s="11">
        <f t="shared" si="0"/>
        <v>0.38220897843539114</v>
      </c>
      <c r="I15" s="11"/>
      <c r="J15" s="11">
        <f t="shared" si="4"/>
        <v>0.27737533924962798</v>
      </c>
      <c r="K15" s="11"/>
      <c r="L15" s="11"/>
      <c r="M15" s="12"/>
    </row>
    <row r="16" spans="3:19" x14ac:dyDescent="0.2">
      <c r="C16" s="8">
        <v>43132</v>
      </c>
      <c r="D16" s="1">
        <v>2123.9299999999998</v>
      </c>
      <c r="E16" s="11">
        <f t="shared" si="1"/>
        <v>-13.79629441727378</v>
      </c>
      <c r="F16" s="9">
        <f t="shared" si="2"/>
        <v>-12.730603107499899</v>
      </c>
      <c r="G16" s="11">
        <f t="shared" si="3"/>
        <v>-1.6611316269047958</v>
      </c>
      <c r="H16" s="11">
        <f t="shared" si="0"/>
        <v>-4.5836573120313728</v>
      </c>
      <c r="I16" s="11"/>
      <c r="J16" s="11">
        <f t="shared" si="4"/>
        <v>7.6140581279087387</v>
      </c>
      <c r="K16" s="11"/>
      <c r="L16" s="11"/>
      <c r="M16" s="12"/>
    </row>
    <row r="17" spans="3:13" x14ac:dyDescent="0.2">
      <c r="C17" s="8">
        <v>43160</v>
      </c>
      <c r="D17" s="1">
        <v>1999.61</v>
      </c>
      <c r="E17" s="11">
        <f t="shared" si="1"/>
        <v>-5.8533002500082425</v>
      </c>
      <c r="F17" s="9">
        <f t="shared" si="2"/>
        <v>-4.787608940234362</v>
      </c>
      <c r="G17" s="11">
        <f t="shared" si="3"/>
        <v>-0.62470321010873708</v>
      </c>
      <c r="H17" s="11">
        <f t="shared" si="0"/>
        <v>-0.24379298947798295</v>
      </c>
      <c r="I17" s="11"/>
      <c r="J17" s="11">
        <f t="shared" si="4"/>
        <v>0.15229826312890152</v>
      </c>
      <c r="K17" s="11"/>
      <c r="L17" s="11"/>
      <c r="M17" s="12"/>
    </row>
    <row r="18" spans="3:13" x14ac:dyDescent="0.2">
      <c r="C18" s="8">
        <v>43191</v>
      </c>
      <c r="D18" s="1">
        <v>1980.79</v>
      </c>
      <c r="E18" s="11">
        <f t="shared" si="1"/>
        <v>-0.94118353078850303</v>
      </c>
      <c r="F18" s="9">
        <f t="shared" si="2"/>
        <v>0.12450777898537746</v>
      </c>
      <c r="G18" s="11">
        <f t="shared" si="3"/>
        <v>1.6246190987325496E-2</v>
      </c>
      <c r="H18" s="11">
        <f t="shared" si="0"/>
        <v>4.2879988800098091E-6</v>
      </c>
      <c r="I18" s="11"/>
      <c r="J18" s="11">
        <f t="shared" si="4"/>
        <v>6.9663648758077191E-8</v>
      </c>
      <c r="K18" s="11"/>
      <c r="L18" s="11"/>
      <c r="M18" s="12"/>
    </row>
    <row r="19" spans="3:13" x14ac:dyDescent="0.2">
      <c r="C19" s="8">
        <v>43221</v>
      </c>
      <c r="D19" s="1">
        <v>2132.92</v>
      </c>
      <c r="E19" s="11">
        <f t="shared" si="1"/>
        <v>7.6802689835873572</v>
      </c>
      <c r="F19" s="9">
        <f t="shared" si="2"/>
        <v>8.7459602933612377</v>
      </c>
      <c r="G19" s="11">
        <f t="shared" si="3"/>
        <v>1.1412021196699627</v>
      </c>
      <c r="H19" s="11">
        <f t="shared" si="0"/>
        <v>1.4862357681200407</v>
      </c>
      <c r="I19" s="11"/>
      <c r="J19" s="11">
        <f t="shared" si="4"/>
        <v>1.6960954089079054</v>
      </c>
      <c r="K19" s="11"/>
      <c r="L19" s="11"/>
      <c r="M19" s="12"/>
    </row>
    <row r="20" spans="3:13" x14ac:dyDescent="0.2">
      <c r="C20" s="8">
        <v>43252</v>
      </c>
      <c r="D20" s="1">
        <v>2031.57</v>
      </c>
      <c r="E20" s="11">
        <f t="shared" si="1"/>
        <v>-4.7517018922416332</v>
      </c>
      <c r="F20" s="9">
        <f t="shared" si="2"/>
        <v>-3.6860105824677527</v>
      </c>
      <c r="G20" s="11">
        <f t="shared" si="3"/>
        <v>-0.480962975904557</v>
      </c>
      <c r="H20" s="11">
        <f t="shared" si="0"/>
        <v>-0.11125894518275269</v>
      </c>
      <c r="I20" s="11"/>
      <c r="J20" s="11">
        <f t="shared" si="4"/>
        <v>5.3511433371098711E-2</v>
      </c>
      <c r="K20" s="11"/>
      <c r="L20" s="11"/>
      <c r="M20" s="12"/>
    </row>
    <row r="21" spans="3:13" x14ac:dyDescent="0.2">
      <c r="C21" s="8">
        <v>43282</v>
      </c>
      <c r="D21" s="1">
        <v>1928.63</v>
      </c>
      <c r="E21" s="11">
        <f t="shared" si="1"/>
        <v>-5.0670171345314152</v>
      </c>
      <c r="F21" s="9">
        <f t="shared" si="2"/>
        <v>-4.0013258247575347</v>
      </c>
      <c r="G21" s="11">
        <f t="shared" si="3"/>
        <v>-0.52210636219896867</v>
      </c>
      <c r="H21" s="11">
        <f t="shared" si="0"/>
        <v>-0.14232361170950319</v>
      </c>
      <c r="I21" s="11"/>
      <c r="J21" s="11">
        <f t="shared" si="4"/>
        <v>7.430806316466726E-2</v>
      </c>
      <c r="K21" s="11"/>
      <c r="L21" s="11"/>
      <c r="M21" s="12"/>
    </row>
    <row r="22" spans="3:13" x14ac:dyDescent="0.2">
      <c r="C22" s="8">
        <v>43313</v>
      </c>
      <c r="D22" s="1">
        <v>1924.48</v>
      </c>
      <c r="E22" s="11">
        <f t="shared" si="1"/>
        <v>-0.21517865012988802</v>
      </c>
      <c r="F22" s="9">
        <f t="shared" si="2"/>
        <v>0.85051265964399247</v>
      </c>
      <c r="G22" s="11">
        <f t="shared" si="3"/>
        <v>0.11097773342609576</v>
      </c>
      <c r="H22" s="11">
        <f t="shared" si="0"/>
        <v>1.3668081257192423E-3</v>
      </c>
      <c r="I22" s="11"/>
      <c r="J22" s="11">
        <f t="shared" si="4"/>
        <v>1.5168526782069166E-4</v>
      </c>
      <c r="K22" s="11"/>
      <c r="L22" s="11"/>
      <c r="M22" s="12"/>
    </row>
    <row r="23" spans="3:13" x14ac:dyDescent="0.2">
      <c r="C23" s="8">
        <v>43344</v>
      </c>
      <c r="D23" s="1">
        <v>1973.33</v>
      </c>
      <c r="E23" s="11">
        <f t="shared" si="1"/>
        <v>2.5383480212836762</v>
      </c>
      <c r="F23" s="9">
        <f t="shared" si="2"/>
        <v>3.6040393310575567</v>
      </c>
      <c r="G23" s="11">
        <f t="shared" si="3"/>
        <v>0.47026709315142778</v>
      </c>
      <c r="H23" s="11">
        <f t="shared" si="0"/>
        <v>0.10400010323814496</v>
      </c>
      <c r="I23" s="11"/>
      <c r="J23" s="11">
        <f t="shared" si="4"/>
        <v>4.8907826237250825E-2</v>
      </c>
      <c r="K23" s="11"/>
      <c r="L23" s="11"/>
      <c r="M23" s="12"/>
    </row>
    <row r="24" spans="3:13" x14ac:dyDescent="0.2">
      <c r="C24" s="8">
        <v>43374</v>
      </c>
      <c r="D24" s="1">
        <v>1914.01</v>
      </c>
      <c r="E24" s="11">
        <f t="shared" si="1"/>
        <v>-3.006086158929322</v>
      </c>
      <c r="F24" s="9">
        <f t="shared" si="2"/>
        <v>-1.9403948491554415</v>
      </c>
      <c r="G24" s="11">
        <f t="shared" si="3"/>
        <v>-0.2531892028521705</v>
      </c>
      <c r="H24" s="11">
        <f t="shared" si="0"/>
        <v>-1.6230636233335701E-2</v>
      </c>
      <c r="I24" s="11"/>
      <c r="J24" s="11">
        <f t="shared" si="4"/>
        <v>4.1094218497018213E-3</v>
      </c>
      <c r="K24" s="11"/>
      <c r="L24" s="11"/>
      <c r="M24" s="12"/>
    </row>
    <row r="25" spans="3:13" x14ac:dyDescent="0.2">
      <c r="C25" s="8">
        <v>43405</v>
      </c>
      <c r="D25" s="1">
        <v>1906.62</v>
      </c>
      <c r="E25" s="11">
        <f t="shared" si="1"/>
        <v>-0.38610038610039643</v>
      </c>
      <c r="F25" s="9">
        <f t="shared" si="2"/>
        <v>0.67959092367348406</v>
      </c>
      <c r="G25" s="11">
        <f t="shared" si="3"/>
        <v>8.8675294260521856E-2</v>
      </c>
      <c r="H25" s="11">
        <f t="shared" si="0"/>
        <v>6.9728113410702096E-4</v>
      </c>
      <c r="I25" s="11"/>
      <c r="J25" s="11">
        <f t="shared" si="4"/>
        <v>6.1831609749250479E-5</v>
      </c>
      <c r="K25" s="11"/>
      <c r="L25" s="11"/>
      <c r="M25" s="12"/>
    </row>
    <row r="26" spans="3:13" x14ac:dyDescent="0.2">
      <c r="C26" s="8">
        <v>43435</v>
      </c>
      <c r="D26" s="1">
        <v>1853.04</v>
      </c>
      <c r="E26" s="11">
        <f t="shared" si="1"/>
        <v>-2.8102086414702465</v>
      </c>
      <c r="F26" s="9">
        <f t="shared" si="2"/>
        <v>-1.744517331696366</v>
      </c>
      <c r="G26" s="11">
        <f t="shared" si="3"/>
        <v>-0.22763044993973558</v>
      </c>
      <c r="H26" s="11">
        <f t="shared" si="0"/>
        <v>-1.1794813290530184E-2</v>
      </c>
      <c r="I26" s="11"/>
      <c r="J26" s="11">
        <f t="shared" si="4"/>
        <v>2.6848586562785589E-3</v>
      </c>
      <c r="K26" s="11"/>
      <c r="L26" s="11"/>
      <c r="M26" s="12"/>
    </row>
    <row r="27" spans="3:13" x14ac:dyDescent="0.2">
      <c r="C27" s="8">
        <v>43466</v>
      </c>
      <c r="D27" s="1">
        <v>1841.43</v>
      </c>
      <c r="E27" s="11">
        <f t="shared" si="1"/>
        <v>-0.62653801321072011</v>
      </c>
      <c r="F27" s="9">
        <f t="shared" si="2"/>
        <v>0.43915329656316038</v>
      </c>
      <c r="G27" s="11">
        <f t="shared" si="3"/>
        <v>5.7302189363739278E-2</v>
      </c>
      <c r="H27" s="11">
        <f t="shared" si="0"/>
        <v>1.881540827721957E-4</v>
      </c>
      <c r="I27" s="11"/>
      <c r="J27" s="11">
        <f t="shared" si="4"/>
        <v>1.0781640880573031E-5</v>
      </c>
      <c r="K27" s="11"/>
      <c r="L27" s="11"/>
      <c r="M27" s="12"/>
    </row>
    <row r="28" spans="3:13" x14ac:dyDescent="0.2">
      <c r="C28" s="8">
        <v>43497</v>
      </c>
      <c r="D28" s="1">
        <v>2002.14</v>
      </c>
      <c r="E28" s="11">
        <f t="shared" si="1"/>
        <v>8.7274563790098014</v>
      </c>
      <c r="F28" s="9">
        <f t="shared" si="2"/>
        <v>9.7931476887836819</v>
      </c>
      <c r="G28" s="11">
        <f t="shared" si="3"/>
        <v>1.2778426297183429</v>
      </c>
      <c r="H28" s="11">
        <f t="shared" si="0"/>
        <v>2.0865659558573495</v>
      </c>
      <c r="I28" s="11"/>
      <c r="J28" s="11">
        <f t="shared" si="4"/>
        <v>2.6663029281135233</v>
      </c>
      <c r="K28" s="11"/>
      <c r="L28" s="11"/>
      <c r="M28" s="12"/>
    </row>
    <row r="29" spans="3:13" x14ac:dyDescent="0.2">
      <c r="C29" s="8">
        <v>43525</v>
      </c>
      <c r="D29" s="1">
        <v>1906.57</v>
      </c>
      <c r="E29" s="11">
        <f t="shared" si="1"/>
        <v>-4.7733924700570469</v>
      </c>
      <c r="F29" s="9">
        <f t="shared" si="2"/>
        <v>-3.7077011602831664</v>
      </c>
      <c r="G29" s="11">
        <f t="shared" si="3"/>
        <v>-0.48379323496697302</v>
      </c>
      <c r="H29" s="11">
        <f t="shared" si="0"/>
        <v>-0.11323465821801305</v>
      </c>
      <c r="I29" s="11"/>
      <c r="J29" s="11">
        <f t="shared" si="4"/>
        <v>5.4782161609672073E-2</v>
      </c>
      <c r="K29" s="11"/>
      <c r="L29" s="11"/>
      <c r="M29" s="12"/>
    </row>
    <row r="30" spans="3:13" x14ac:dyDescent="0.2">
      <c r="C30" s="8">
        <v>43556</v>
      </c>
      <c r="D30" s="1">
        <v>1884.5</v>
      </c>
      <c r="E30" s="11">
        <f t="shared" si="1"/>
        <v>-1.1575761708198407</v>
      </c>
      <c r="F30" s="9">
        <f t="shared" si="2"/>
        <v>-9.1884861045960164E-2</v>
      </c>
      <c r="G30" s="11">
        <f t="shared" si="3"/>
        <v>-1.1989443660157568E-2</v>
      </c>
      <c r="H30" s="11">
        <f t="shared" si="0"/>
        <v>-1.7234436717189012E-6</v>
      </c>
      <c r="I30" s="11"/>
      <c r="J30" s="11">
        <f t="shared" si="4"/>
        <v>2.0663130803528861E-8</v>
      </c>
      <c r="K30" s="11"/>
      <c r="L30" s="11"/>
      <c r="M30" s="12"/>
    </row>
    <row r="31" spans="3:13" x14ac:dyDescent="0.2">
      <c r="C31" s="8">
        <v>43586</v>
      </c>
      <c r="D31" s="1">
        <v>1927.49</v>
      </c>
      <c r="E31" s="11">
        <f t="shared" si="1"/>
        <v>2.2812417086760517</v>
      </c>
      <c r="F31" s="9">
        <f t="shared" si="2"/>
        <v>3.3469330184499322</v>
      </c>
      <c r="G31" s="11">
        <f t="shared" si="3"/>
        <v>0.43671900248023338</v>
      </c>
      <c r="H31" s="11">
        <f t="shared" si="0"/>
        <v>8.3292571047799233E-2</v>
      </c>
      <c r="I31" s="11"/>
      <c r="J31" s="11">
        <f t="shared" si="4"/>
        <v>3.6375448542008845E-2</v>
      </c>
      <c r="K31" s="11"/>
      <c r="L31" s="11"/>
      <c r="M31" s="12"/>
    </row>
    <row r="32" spans="3:13" x14ac:dyDescent="0.2">
      <c r="C32" s="8">
        <v>43617</v>
      </c>
      <c r="D32" s="1">
        <v>1938.21</v>
      </c>
      <c r="E32" s="11">
        <f t="shared" si="1"/>
        <v>0.55616371550566424</v>
      </c>
      <c r="F32" s="9">
        <f t="shared" si="2"/>
        <v>1.6218550252795447</v>
      </c>
      <c r="G32" s="11">
        <f t="shared" si="3"/>
        <v>0.21162506237895062</v>
      </c>
      <c r="H32" s="11">
        <f t="shared" si="0"/>
        <v>9.4776637657183228E-3</v>
      </c>
      <c r="I32" s="11"/>
      <c r="J32" s="11">
        <f t="shared" si="4"/>
        <v>2.0057111856268601E-3</v>
      </c>
      <c r="K32" s="11"/>
      <c r="L32" s="11"/>
      <c r="M32" s="12"/>
    </row>
    <row r="33" spans="3:13" x14ac:dyDescent="0.2">
      <c r="C33" s="8">
        <v>43647</v>
      </c>
      <c r="D33" s="1">
        <v>1938.9</v>
      </c>
      <c r="E33" s="11">
        <f t="shared" si="1"/>
        <v>3.5599857600576712E-2</v>
      </c>
      <c r="F33" s="9">
        <f t="shared" si="2"/>
        <v>1.1012911673744572</v>
      </c>
      <c r="G33" s="11">
        <f t="shared" si="3"/>
        <v>0.14370015097547714</v>
      </c>
      <c r="H33" s="11">
        <f t="shared" si="0"/>
        <v>2.9673698058002278E-3</v>
      </c>
      <c r="I33" s="11"/>
      <c r="J33" s="11">
        <f t="shared" si="4"/>
        <v>4.2641148909356504E-4</v>
      </c>
      <c r="K33" s="11"/>
      <c r="L33" s="11"/>
      <c r="M33" s="12"/>
    </row>
    <row r="34" spans="3:13" x14ac:dyDescent="0.2">
      <c r="C34" s="8">
        <v>43678</v>
      </c>
      <c r="D34" s="1">
        <v>1931.14</v>
      </c>
      <c r="E34" s="11">
        <f t="shared" si="1"/>
        <v>-0.40022693279694321</v>
      </c>
      <c r="F34" s="9">
        <f t="shared" si="2"/>
        <v>0.66546437697693728</v>
      </c>
      <c r="G34" s="11">
        <f t="shared" si="3"/>
        <v>8.683201525021661E-2</v>
      </c>
      <c r="H34" s="11">
        <f t="shared" si="0"/>
        <v>6.5469593067300541E-4</v>
      </c>
      <c r="I34" s="11"/>
      <c r="J34" s="11">
        <f t="shared" si="4"/>
        <v>5.684856703645316E-5</v>
      </c>
      <c r="K34" s="11"/>
      <c r="L34" s="11"/>
      <c r="M34" s="12"/>
    </row>
    <row r="35" spans="3:13" x14ac:dyDescent="0.2">
      <c r="C35" s="8">
        <v>43709</v>
      </c>
      <c r="D35" s="1">
        <v>1841.04</v>
      </c>
      <c r="E35" s="11">
        <f t="shared" si="1"/>
        <v>-4.6656379133568793</v>
      </c>
      <c r="F35" s="9">
        <f t="shared" si="2"/>
        <v>-3.5999466035829988</v>
      </c>
      <c r="G35" s="11">
        <f t="shared" si="3"/>
        <v>-0.46973306039658641</v>
      </c>
      <c r="H35" s="11">
        <f t="shared" si="0"/>
        <v>-0.10364619957781671</v>
      </c>
      <c r="I35" s="11"/>
      <c r="J35" s="11">
        <f t="shared" si="4"/>
        <v>4.8686046526163228E-2</v>
      </c>
      <c r="K35" s="11"/>
      <c r="L35" s="11"/>
      <c r="M35" s="12"/>
    </row>
    <row r="36" spans="3:13" x14ac:dyDescent="0.2">
      <c r="C36" s="8">
        <v>43739</v>
      </c>
      <c r="D36" s="1">
        <v>1863.39</v>
      </c>
      <c r="E36" s="11">
        <f t="shared" si="1"/>
        <v>1.2139877460565884</v>
      </c>
      <c r="F36" s="9">
        <f t="shared" si="2"/>
        <v>2.2796790558304689</v>
      </c>
      <c r="G36" s="11">
        <f t="shared" si="3"/>
        <v>0.29746013970080765</v>
      </c>
      <c r="H36" s="11">
        <f t="shared" si="0"/>
        <v>2.6320027136163267E-2</v>
      </c>
      <c r="I36" s="11"/>
      <c r="J36" s="11">
        <f t="shared" si="4"/>
        <v>7.8291589488521732E-3</v>
      </c>
      <c r="K36" s="11"/>
      <c r="L36" s="11"/>
      <c r="M36" s="12"/>
    </row>
    <row r="37" spans="3:13" x14ac:dyDescent="0.2">
      <c r="C37" s="8">
        <v>43770</v>
      </c>
      <c r="D37" s="1">
        <v>1891.28</v>
      </c>
      <c r="E37" s="11">
        <f t="shared" si="1"/>
        <v>1.4967344463585164</v>
      </c>
      <c r="F37" s="9">
        <f t="shared" si="2"/>
        <v>2.5624257561323969</v>
      </c>
      <c r="G37" s="11">
        <f t="shared" si="3"/>
        <v>0.33435387382388349</v>
      </c>
      <c r="H37" s="11">
        <f t="shared" si="0"/>
        <v>3.737825976634248E-2</v>
      </c>
      <c r="I37" s="11"/>
      <c r="J37" s="11">
        <f t="shared" si="4"/>
        <v>1.2497565949672013E-2</v>
      </c>
      <c r="K37" s="11"/>
      <c r="L37" s="11"/>
      <c r="M37" s="12"/>
    </row>
    <row r="38" spans="3:13" x14ac:dyDescent="0.2">
      <c r="C38" s="8">
        <v>43800</v>
      </c>
      <c r="D38" s="1">
        <v>1904.35</v>
      </c>
      <c r="E38" s="11">
        <f t="shared" si="1"/>
        <v>0.69106636775093655</v>
      </c>
      <c r="F38" s="9">
        <f t="shared" si="2"/>
        <v>1.756757677524817</v>
      </c>
      <c r="G38" s="11">
        <f t="shared" si="3"/>
        <v>0.2292276111589015</v>
      </c>
      <c r="H38" s="11">
        <f t="shared" si="0"/>
        <v>1.2044833073442521E-2</v>
      </c>
      <c r="I38" s="11"/>
      <c r="J38" s="11">
        <f t="shared" si="4"/>
        <v>2.7610083122329588E-3</v>
      </c>
      <c r="K38" s="11"/>
      <c r="L38" s="11"/>
      <c r="M38" s="12"/>
    </row>
    <row r="39" spans="3:13" x14ac:dyDescent="0.2">
      <c r="C39" s="8">
        <v>43831</v>
      </c>
      <c r="D39" s="1">
        <v>1876.88</v>
      </c>
      <c r="E39" s="11">
        <f t="shared" si="1"/>
        <v>-1.4424869378002914</v>
      </c>
      <c r="F39" s="9">
        <f t="shared" si="2"/>
        <v>-0.37679562802641087</v>
      </c>
      <c r="G39" s="11">
        <f t="shared" si="3"/>
        <v>-4.9165552433677671E-2</v>
      </c>
      <c r="H39" s="11">
        <f t="shared" si="0"/>
        <v>-1.1884550763559611E-4</v>
      </c>
      <c r="I39" s="11"/>
      <c r="J39" s="11">
        <f t="shared" si="4"/>
        <v>5.8431050371649406E-6</v>
      </c>
      <c r="K39" s="11"/>
      <c r="L39" s="11"/>
      <c r="M39" s="12"/>
    </row>
    <row r="40" spans="3:13" x14ac:dyDescent="0.2">
      <c r="C40" s="8">
        <v>43862</v>
      </c>
      <c r="D40" s="1">
        <v>1794.08</v>
      </c>
      <c r="E40" s="11">
        <f t="shared" si="1"/>
        <v>-4.4115766591364514</v>
      </c>
      <c r="F40" s="9">
        <f t="shared" si="2"/>
        <v>-3.3458853493625709</v>
      </c>
      <c r="G40" s="11">
        <f t="shared" si="3"/>
        <v>-0.43658229911741142</v>
      </c>
      <c r="H40" s="11">
        <f t="shared" si="0"/>
        <v>-8.3214377903030684E-2</v>
      </c>
      <c r="I40" s="11"/>
      <c r="J40" s="11">
        <f t="shared" si="4"/>
        <v>3.6329924424530251E-2</v>
      </c>
      <c r="K40" s="11"/>
      <c r="L40" s="11"/>
      <c r="M40" s="12"/>
    </row>
    <row r="41" spans="3:13" x14ac:dyDescent="0.2">
      <c r="C41" s="8">
        <v>43891</v>
      </c>
      <c r="D41" s="1">
        <v>1524.58</v>
      </c>
      <c r="E41" s="11">
        <f t="shared" si="1"/>
        <v>-15.021626683314015</v>
      </c>
      <c r="F41" s="9">
        <f t="shared" si="2"/>
        <v>-13.955935373540134</v>
      </c>
      <c r="G41" s="11">
        <f t="shared" si="3"/>
        <v>-1.8210170748603001</v>
      </c>
      <c r="H41" s="11">
        <f t="shared" si="0"/>
        <v>-6.0386805254032199</v>
      </c>
      <c r="I41" s="11"/>
      <c r="J41" s="11">
        <f t="shared" si="4"/>
        <v>10.996540346385631</v>
      </c>
      <c r="K41" s="11"/>
      <c r="L41" s="11"/>
      <c r="M41" s="12"/>
    </row>
    <row r="42" spans="3:13" x14ac:dyDescent="0.2">
      <c r="C42" s="8">
        <v>43922</v>
      </c>
      <c r="D42" s="1">
        <v>961.6</v>
      </c>
      <c r="E42" s="11">
        <f t="shared" si="1"/>
        <v>-36.926891340565923</v>
      </c>
      <c r="F42" s="9">
        <f t="shared" si="2"/>
        <v>-35.861200030792041</v>
      </c>
      <c r="G42" s="11">
        <f t="shared" si="3"/>
        <v>-4.6792891936764329</v>
      </c>
      <c r="H42" s="11">
        <f t="shared" si="0"/>
        <v>-102.45653400002561</v>
      </c>
      <c r="I42" s="11"/>
      <c r="J42" s="11">
        <f t="shared" si="4"/>
        <v>479.42375236786182</v>
      </c>
      <c r="K42" s="11"/>
      <c r="L42" s="11"/>
      <c r="M42" s="12"/>
    </row>
    <row r="43" spans="3:13" x14ac:dyDescent="0.2">
      <c r="C43" s="8">
        <v>43952</v>
      </c>
      <c r="D43" s="1">
        <v>1041.27</v>
      </c>
      <c r="E43" s="11">
        <f t="shared" si="1"/>
        <v>8.2851497504159646</v>
      </c>
      <c r="F43" s="9">
        <f t="shared" si="2"/>
        <v>9.3508410601898451</v>
      </c>
      <c r="G43" s="11">
        <f t="shared" si="3"/>
        <v>1.2201289830558364</v>
      </c>
      <c r="H43" s="11">
        <f t="shared" si="0"/>
        <v>1.8164239960331277</v>
      </c>
      <c r="I43" s="11"/>
      <c r="J43" s="11">
        <f t="shared" si="4"/>
        <v>2.2162715630781187</v>
      </c>
      <c r="K43" s="11"/>
      <c r="L43" s="11"/>
      <c r="M43" s="12"/>
    </row>
    <row r="44" spans="3:13" x14ac:dyDescent="0.2">
      <c r="C44" s="8">
        <v>43983</v>
      </c>
      <c r="D44" s="1">
        <v>1035.8900000000001</v>
      </c>
      <c r="E44" s="11">
        <f t="shared" si="1"/>
        <v>-0.5166767505065839</v>
      </c>
      <c r="F44" s="9">
        <f t="shared" si="2"/>
        <v>0.54901455926729659</v>
      </c>
      <c r="G44" s="11">
        <f t="shared" si="3"/>
        <v>7.1637253972110057E-2</v>
      </c>
      <c r="H44" s="11">
        <f t="shared" si="0"/>
        <v>3.6763494833347732E-4</v>
      </c>
      <c r="I44" s="11"/>
      <c r="J44" s="11">
        <f t="shared" si="4"/>
        <v>2.6336358162788876E-5</v>
      </c>
      <c r="K44" s="11"/>
      <c r="L44" s="11"/>
      <c r="M44" s="12"/>
    </row>
    <row r="45" spans="3:13" x14ac:dyDescent="0.2">
      <c r="C45" s="8">
        <v>44013</v>
      </c>
      <c r="D45" s="1">
        <v>1181.53</v>
      </c>
      <c r="E45" s="11">
        <f t="shared" si="1"/>
        <v>14.059407852185068</v>
      </c>
      <c r="F45" s="9">
        <f t="shared" si="2"/>
        <v>15.125099161958948</v>
      </c>
      <c r="G45" s="11">
        <f t="shared" si="3"/>
        <v>1.9735734721947014</v>
      </c>
      <c r="H45" s="11">
        <f t="shared" si="0"/>
        <v>7.687053379301271</v>
      </c>
      <c r="I45" s="11"/>
      <c r="J45" s="11">
        <f t="shared" si="4"/>
        <v>15.170964628733621</v>
      </c>
      <c r="K45" s="11"/>
      <c r="L45" s="11"/>
      <c r="M45" s="12"/>
    </row>
    <row r="46" spans="3:13" x14ac:dyDescent="0.2">
      <c r="C46" s="8">
        <v>44044</v>
      </c>
      <c r="D46" s="1">
        <v>1109.6099999999999</v>
      </c>
      <c r="E46" s="11">
        <f t="shared" si="1"/>
        <v>-6.0870227586265369</v>
      </c>
      <c r="F46" s="9">
        <f t="shared" si="2"/>
        <v>-5.0213314488526564</v>
      </c>
      <c r="G46" s="11">
        <f t="shared" si="3"/>
        <v>-0.65520010390920869</v>
      </c>
      <c r="H46" s="11">
        <f t="shared" si="0"/>
        <v>-0.2812690024286511</v>
      </c>
      <c r="I46" s="11"/>
      <c r="J46" s="11">
        <f t="shared" si="4"/>
        <v>0.18428747961769165</v>
      </c>
      <c r="K46" s="11"/>
      <c r="L46" s="11"/>
      <c r="M46" s="12"/>
    </row>
    <row r="47" spans="3:13" x14ac:dyDescent="0.2">
      <c r="C47" s="8">
        <v>44075</v>
      </c>
      <c r="D47" s="1">
        <v>1042.22</v>
      </c>
      <c r="E47" s="11">
        <f t="shared" si="1"/>
        <v>-6.0733050351024165</v>
      </c>
      <c r="F47" s="9">
        <f t="shared" si="2"/>
        <v>-5.007613725328536</v>
      </c>
      <c r="G47" s="11">
        <f t="shared" si="3"/>
        <v>-0.65341016951233566</v>
      </c>
      <c r="H47" s="11">
        <f t="shared" si="0"/>
        <v>-0.27897010656402066</v>
      </c>
      <c r="I47" s="11"/>
      <c r="J47" s="11">
        <f t="shared" si="4"/>
        <v>0.18228190461887109</v>
      </c>
      <c r="K47" s="11"/>
      <c r="L47" s="11"/>
      <c r="M47" s="12"/>
    </row>
    <row r="48" spans="3:13" x14ac:dyDescent="0.2">
      <c r="C48" s="8">
        <v>44105</v>
      </c>
      <c r="D48" s="1">
        <v>1018.01</v>
      </c>
      <c r="E48" s="11">
        <f t="shared" si="1"/>
        <v>-2.322926061676045</v>
      </c>
      <c r="F48" s="9">
        <f t="shared" si="2"/>
        <v>-1.2572347519021645</v>
      </c>
      <c r="G48" s="11">
        <f t="shared" si="3"/>
        <v>-0.16404819089821007</v>
      </c>
      <c r="H48" s="11">
        <f t="shared" si="0"/>
        <v>-4.4148335699091242E-3</v>
      </c>
      <c r="I48" s="11"/>
      <c r="J48" s="11">
        <f t="shared" si="4"/>
        <v>7.2424546026027834E-4</v>
      </c>
      <c r="K48" s="11"/>
      <c r="L48" s="11"/>
      <c r="M48" s="12"/>
    </row>
    <row r="49" spans="3:19" x14ac:dyDescent="0.2">
      <c r="C49" s="8">
        <v>44136</v>
      </c>
      <c r="D49" s="1">
        <v>932.99</v>
      </c>
      <c r="E49" s="11">
        <f t="shared" si="1"/>
        <v>-8.3515879018870152</v>
      </c>
      <c r="F49" s="9">
        <f t="shared" si="2"/>
        <v>-7.2858965921131347</v>
      </c>
      <c r="G49" s="11">
        <f t="shared" si="3"/>
        <v>-0.95068812980171646</v>
      </c>
      <c r="H49" s="11">
        <f t="shared" si="0"/>
        <v>-0.85923946130347073</v>
      </c>
      <c r="I49" s="11"/>
      <c r="J49" s="11">
        <f>G49^4</f>
        <v>0.81686875651843094</v>
      </c>
      <c r="K49" s="11"/>
      <c r="L49" s="11"/>
      <c r="M49" s="12"/>
    </row>
    <row r="50" spans="3:19" x14ac:dyDescent="0.2">
      <c r="C50" s="8">
        <v>44166</v>
      </c>
      <c r="D50" s="1">
        <v>1081.31</v>
      </c>
      <c r="E50" s="11">
        <f t="shared" si="1"/>
        <v>15.897276498140389</v>
      </c>
      <c r="F50" s="9">
        <f t="shared" si="2"/>
        <v>16.962967807914268</v>
      </c>
      <c r="G50" s="11">
        <f t="shared" si="3"/>
        <v>2.2133847135093028</v>
      </c>
      <c r="H50" s="11">
        <f t="shared" si="0"/>
        <v>10.843530831701731</v>
      </c>
      <c r="I50" s="11"/>
      <c r="J50" s="11">
        <f>G50^4</f>
        <v>24.000905383355427</v>
      </c>
      <c r="K50" s="11"/>
      <c r="L50" s="11"/>
      <c r="M50" s="12"/>
    </row>
    <row r="51" spans="3:19" x14ac:dyDescent="0.2">
      <c r="G51" s="7"/>
      <c r="H51" s="14"/>
      <c r="I51" s="2"/>
      <c r="K51" s="15"/>
      <c r="L51" s="15"/>
      <c r="R51" s="16"/>
    </row>
    <row r="52" spans="3:19" ht="17" x14ac:dyDescent="0.2">
      <c r="D52" s="17" t="s">
        <v>9</v>
      </c>
      <c r="E52" s="9"/>
      <c r="G52" s="6" t="s">
        <v>10</v>
      </c>
      <c r="H52" s="18">
        <f>SUM(H4:H50)</f>
        <v>-90.273468766772666</v>
      </c>
      <c r="J52" s="10"/>
      <c r="R52" s="16"/>
    </row>
    <row r="53" spans="3:19" ht="17" x14ac:dyDescent="0.2">
      <c r="D53" s="19" t="s">
        <v>11</v>
      </c>
      <c r="E53" s="11">
        <f>AVERAGE(E4:E50)</f>
        <v>-1.0656913097738805</v>
      </c>
      <c r="I53" s="7" t="s">
        <v>12</v>
      </c>
      <c r="J53" s="11">
        <f>SUM(J4:J50)</f>
        <v>546.0271939875629</v>
      </c>
      <c r="R53" s="20"/>
      <c r="S53" s="20"/>
    </row>
    <row r="54" spans="3:19" x14ac:dyDescent="0.2">
      <c r="D54" s="19" t="s">
        <v>13</v>
      </c>
      <c r="E54" s="11">
        <f>_xlfn.STDEV.P(E4:E50)</f>
        <v>7.6638135722097873</v>
      </c>
      <c r="F54" s="1">
        <f>_xlfn.STDEV.S(E4:E50)</f>
        <v>7.7466680187574086</v>
      </c>
      <c r="J54" s="15"/>
      <c r="K54" s="15"/>
      <c r="R54" s="16"/>
    </row>
    <row r="55" spans="3:19" x14ac:dyDescent="0.2">
      <c r="D55" s="19" t="s">
        <v>14</v>
      </c>
      <c r="E55" s="11">
        <f>COUNT(E4:E50)</f>
        <v>47</v>
      </c>
      <c r="R55" s="16"/>
    </row>
    <row r="56" spans="3:19" ht="17" x14ac:dyDescent="0.2">
      <c r="D56" s="21" t="s">
        <v>10</v>
      </c>
      <c r="E56" s="11">
        <f>H52</f>
        <v>-90.273468766772666</v>
      </c>
      <c r="R56" s="20"/>
      <c r="S56" s="20"/>
    </row>
    <row r="57" spans="3:19" x14ac:dyDescent="0.2">
      <c r="D57" s="6"/>
      <c r="E57" s="11"/>
      <c r="R57" s="16"/>
    </row>
    <row r="58" spans="3:19" x14ac:dyDescent="0.2">
      <c r="D58" s="17" t="s">
        <v>15</v>
      </c>
      <c r="E58" s="22">
        <f>(1/E55)*(E56)</f>
        <v>-1.9207121014206949</v>
      </c>
      <c r="R58" s="20"/>
    </row>
    <row r="59" spans="3:19" x14ac:dyDescent="0.2">
      <c r="D59" s="17" t="s">
        <v>16</v>
      </c>
      <c r="E59" s="22">
        <f>_xlfn.SKEW.P(E4:E50)</f>
        <v>-1.9207121014206949</v>
      </c>
      <c r="F59" s="1">
        <f>_xlfn.SKEW.P(E3:E50)</f>
        <v>-1.9207121014206949</v>
      </c>
      <c r="G59" s="1">
        <f>SKEW(E4:E50)</f>
        <v>-1.9846210969386036</v>
      </c>
      <c r="R59" s="16"/>
    </row>
    <row r="60" spans="3:19" x14ac:dyDescent="0.2">
      <c r="D60" s="23"/>
      <c r="E60" s="18"/>
      <c r="R60" s="16"/>
    </row>
    <row r="61" spans="3:19" x14ac:dyDescent="0.2">
      <c r="D61" s="24" t="s">
        <v>17</v>
      </c>
      <c r="E61" s="14"/>
      <c r="R61" s="20"/>
      <c r="S61" s="20"/>
    </row>
    <row r="62" spans="3:19" x14ac:dyDescent="0.2">
      <c r="D62" s="1" t="s">
        <v>11</v>
      </c>
      <c r="E62" s="25">
        <f>AVERAGE(E4:E50)</f>
        <v>-1.0656913097738805</v>
      </c>
      <c r="R62" s="16"/>
    </row>
    <row r="63" spans="3:19" x14ac:dyDescent="0.2">
      <c r="D63" s="1" t="s">
        <v>13</v>
      </c>
      <c r="E63" s="25">
        <f>_xlfn.STDEV.P(E4:E50)</f>
        <v>7.6638135722097873</v>
      </c>
    </row>
    <row r="64" spans="3:19" x14ac:dyDescent="0.2">
      <c r="D64" s="1" t="s">
        <v>14</v>
      </c>
      <c r="E64" s="1">
        <f>COUNT(E4:E50)</f>
        <v>47</v>
      </c>
    </row>
    <row r="65" spans="4:11" ht="17" x14ac:dyDescent="0.2">
      <c r="D65" s="7" t="s">
        <v>12</v>
      </c>
      <c r="E65" s="26">
        <f>J53</f>
        <v>546.0271939875629</v>
      </c>
    </row>
    <row r="66" spans="4:11" x14ac:dyDescent="0.2">
      <c r="D66" s="3" t="s">
        <v>18</v>
      </c>
      <c r="E66" s="27">
        <f>E65/E64</f>
        <v>11.617599872075806</v>
      </c>
    </row>
    <row r="69" spans="4:11" x14ac:dyDescent="0.2">
      <c r="D69" s="17" t="s">
        <v>19</v>
      </c>
    </row>
    <row r="70" spans="4:11" x14ac:dyDescent="0.2">
      <c r="D70" s="1" t="s">
        <v>20</v>
      </c>
      <c r="E70" s="11">
        <f>E58</f>
        <v>-1.9207121014206949</v>
      </c>
    </row>
    <row r="71" spans="4:11" x14ac:dyDescent="0.2">
      <c r="D71" s="1" t="s">
        <v>21</v>
      </c>
      <c r="E71" s="10">
        <f>E66-3</f>
        <v>8.6175998720758056</v>
      </c>
      <c r="F71" s="28" t="s">
        <v>22</v>
      </c>
      <c r="J71" s="15"/>
      <c r="K71" s="15"/>
    </row>
    <row r="72" spans="4:11" x14ac:dyDescent="0.2">
      <c r="D72" s="1" t="s">
        <v>23</v>
      </c>
      <c r="E72" s="11">
        <f>COUNT(E4:E50)</f>
        <v>47</v>
      </c>
    </row>
    <row r="73" spans="4:11" ht="17" x14ac:dyDescent="0.2">
      <c r="D73" s="1" t="s">
        <v>24</v>
      </c>
      <c r="E73" s="10">
        <f>E70^2</f>
        <v>3.6891349765439019</v>
      </c>
      <c r="G73" s="10"/>
    </row>
    <row r="74" spans="4:11" ht="17" x14ac:dyDescent="0.2">
      <c r="D74" s="1" t="s">
        <v>25</v>
      </c>
      <c r="E74" s="29">
        <f>E71^2</f>
        <v>74.263027555200935</v>
      </c>
    </row>
    <row r="75" spans="4:11" ht="17" x14ac:dyDescent="0.2">
      <c r="D75" s="1" t="s">
        <v>26</v>
      </c>
      <c r="E75" s="1">
        <f>E73/6</f>
        <v>0.61485582942398365</v>
      </c>
    </row>
    <row r="76" spans="4:11" ht="17" x14ac:dyDescent="0.2">
      <c r="D76" s="1" t="s">
        <v>27</v>
      </c>
      <c r="E76" s="1">
        <f>E74/24</f>
        <v>3.0942928148000388</v>
      </c>
    </row>
    <row r="78" spans="4:11" x14ac:dyDescent="0.2">
      <c r="D78" s="1" t="s">
        <v>28</v>
      </c>
      <c r="E78" s="1">
        <f>E72*(E75+E76)</f>
        <v>174.32998627852905</v>
      </c>
    </row>
    <row r="79" spans="4:11" x14ac:dyDescent="0.2">
      <c r="D79" s="30"/>
      <c r="E79" s="31"/>
    </row>
    <row r="80" spans="4:11" x14ac:dyDescent="0.2">
      <c r="D80" s="1" t="s">
        <v>29</v>
      </c>
    </row>
    <row r="81" spans="4:6" x14ac:dyDescent="0.2">
      <c r="F81" s="2" t="s">
        <v>30</v>
      </c>
    </row>
    <row r="82" spans="4:6" x14ac:dyDescent="0.2">
      <c r="D82" s="1" t="s">
        <v>31</v>
      </c>
      <c r="E82" s="1">
        <f>_xlfn.CHISQ.INV.RT(0.01,2)</f>
        <v>9.2103403719761818</v>
      </c>
      <c r="F82" s="32" t="str">
        <f>IF(E82&gt;$D$50,"Data is normally distributed","Data is not normally distributed")</f>
        <v>Data is not normally distributed</v>
      </c>
    </row>
    <row r="83" spans="4:6" x14ac:dyDescent="0.2">
      <c r="D83" s="1" t="s">
        <v>32</v>
      </c>
      <c r="E83" s="1">
        <f>_xlfn.CHISQ.INV.RT(0.05,2)</f>
        <v>5.9914645471079817</v>
      </c>
      <c r="F83" s="32" t="str">
        <f t="shared" ref="F83:F84" si="5">IF(E83&gt;$D$50,"Data is normally distributed","Data is not normally distributed")</f>
        <v>Data is not normally distributed</v>
      </c>
    </row>
    <row r="84" spans="4:6" x14ac:dyDescent="0.2">
      <c r="D84" s="1" t="s">
        <v>33</v>
      </c>
      <c r="E84" s="1">
        <f>_xlfn.CHISQ.INV.RT(0.1,2)</f>
        <v>4.6051701859880909</v>
      </c>
      <c r="F84" s="32" t="str">
        <f t="shared" si="5"/>
        <v>Data is not normally distributed</v>
      </c>
    </row>
    <row r="85" spans="4:6" x14ac:dyDescent="0.2">
      <c r="F85" s="32"/>
    </row>
    <row r="86" spans="4:6" x14ac:dyDescent="0.2">
      <c r="F86" s="32"/>
    </row>
    <row r="87" spans="4:6" x14ac:dyDescent="0.2">
      <c r="D87" s="1" t="s">
        <v>34</v>
      </c>
      <c r="F87" s="32"/>
    </row>
    <row r="88" spans="4:6" x14ac:dyDescent="0.2">
      <c r="D88" s="1" t="s">
        <v>35</v>
      </c>
      <c r="E88" s="33">
        <f>_xlfn.CHISQ.DIST.RT(E78,2)</f>
        <v>1.3954827245355741E-38</v>
      </c>
      <c r="F88" s="32" t="str">
        <f>IF(0.1&gt;E88,"Data is not normally distributed","Data is normally distributed")</f>
        <v>Data is not normally distributed</v>
      </c>
    </row>
  </sheetData>
  <mergeCells count="1">
    <mergeCell ref="G1:H1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Views.Workfile.2" shapeId="1025" r:id="rId3">
          <objectPr defaultSize="0" autoPict="0" r:id="rId4">
            <anchor moveWithCells="1">
              <from>
                <xdr:col>7</xdr:col>
                <xdr:colOff>0</xdr:colOff>
                <xdr:row>77</xdr:row>
                <xdr:rowOff>25400</xdr:rowOff>
              </from>
              <to>
                <xdr:col>14</xdr:col>
                <xdr:colOff>50800</xdr:colOff>
                <xdr:row>91</xdr:row>
                <xdr:rowOff>25400</xdr:rowOff>
              </to>
            </anchor>
          </objectPr>
        </oleObject>
      </mc:Choice>
      <mc:Fallback>
        <oleObject progId="EViews.Workfile.2" shapeId="1025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Questions 1-10</vt:lpstr>
      <vt:lpstr>Question 11-20</vt:lpstr>
      <vt:lpstr>Question 11</vt:lpstr>
      <vt:lpstr>Question 12</vt:lpstr>
      <vt:lpstr>Question 13</vt:lpstr>
      <vt:lpstr>Question 14</vt:lpstr>
      <vt:lpstr>Question 15</vt:lpstr>
      <vt:lpstr>Question 16</vt:lpstr>
      <vt:lpstr>Question 17</vt:lpstr>
      <vt:lpstr>Question 18</vt:lpstr>
      <vt:lpstr>Question 19</vt:lpstr>
      <vt:lpstr>Question 20</vt:lpstr>
      <vt:lpstr>Question 21</vt:lpstr>
      <vt:lpstr>Question 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Microsoft Office User</cp:lastModifiedBy>
  <dcterms:created xsi:type="dcterms:W3CDTF">2023-10-06T18:08:59Z</dcterms:created>
  <dcterms:modified xsi:type="dcterms:W3CDTF">2026-01-09T21:06:03Z</dcterms:modified>
</cp:coreProperties>
</file>